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Stavební rozpočet" sheetId="2" r:id="rId2"/>
    <sheet name="Mobiliář a VP" sheetId="3" r:id="rId3"/>
  </sheets>
  <definedNames>
    <definedName name="_xlnm.Print_Area" localSheetId="0">'Krycí list rozpočtu'!$A$1:$I$37</definedName>
    <definedName name="_xlnm.Print_Area" localSheetId="1">'Stavební rozpočet'!$A$1:$L$322</definedName>
  </definedNames>
  <calcPr fullCalcOnLoad="1"/>
</workbook>
</file>

<file path=xl/sharedStrings.xml><?xml version="1.0" encoding="utf-8"?>
<sst xmlns="http://schemas.openxmlformats.org/spreadsheetml/2006/main" count="1645" uniqueCount="815">
  <si>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</si>
  <si>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</si>
  <si>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</si>
  <si>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</si>
  <si>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</si>
  <si>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</si>
  <si>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</si>
  <si>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</si>
  <si>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</si>
  <si>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</si>
  <si>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</si>
  <si>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</si>
  <si>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</si>
  <si>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</si>
  <si>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</si>
  <si>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</si>
  <si>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</si>
  <si>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</si>
  <si>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</si>
  <si>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</si>
  <si>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</si>
  <si>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</si>
  <si>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</si>
  <si>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</si>
  <si>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</si>
  <si>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</si>
  <si>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</si>
  <si>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</si>
  <si>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</si>
  <si>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</si>
  <si>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</si>
  <si>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</si>
  <si>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</si>
  <si>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</si>
  <si>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</si>
  <si>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</si>
  <si>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</si>
  <si>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</si>
  <si>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</si>
  <si>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</si>
  <si>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</si>
  <si>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</si>
  <si>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</si>
  <si>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</si>
  <si>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</si>
  <si>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</si>
  <si>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</si>
  <si>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</si>
  <si>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</si>
  <si>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</si>
  <si>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</si>
  <si>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</si>
  <si>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</si>
  <si>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</si>
  <si>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</si>
  <si>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</si>
  <si>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</si>
  <si>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</si>
  <si>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</si>
  <si>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</si>
  <si>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</si>
  <si>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</si>
  <si>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</si>
  <si>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</si>
  <si>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</si>
  <si>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</si>
  <si>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</si>
  <si>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</si>
  <si>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</si>
  <si>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</si>
  <si>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</si>
  <si>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</si>
  <si>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</si>
  <si>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</si>
  <si>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</si>
  <si>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</si>
  <si>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</si>
  <si>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</si>
  <si>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</si>
  <si>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</si>
  <si>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</si>
  <si>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</si>
  <si>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</si>
  <si>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</si>
  <si>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</si>
  <si>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</si>
  <si>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</si>
  <si>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</si>
  <si>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</si>
  <si>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</si>
  <si>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</si>
  <si>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</si>
  <si>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</si>
  <si>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</si>
  <si>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</si>
  <si>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</si>
  <si>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</si>
  <si>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</si>
  <si>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</si>
  <si>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</si>
  <si>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</si>
  <si>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</si>
  <si>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</si>
  <si>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</si>
  <si>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</si>
  <si>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</si>
  <si>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</si>
  <si>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Poznámka:</t>
  </si>
  <si>
    <t>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díla.
Povinností účastníka výběrového řízení je seznámit se všemi částmi projektové dokumentace, tj. technickou zprávou, výkresy, výkazy výměr atd. Upozornit na případné nedostatky a chyby, v případě nejasností vznést dotazy k dokumentaci. Nebude-li tak učiněno, předpokládá se, že cena účastníka zahrnuje veškeré součásti k zajištění kompletnosti.
Součástí cenové nabídky musí být veškeré náklady, aby cena byla kompletní, konečná a zahrnovala celou dodávku a montáž. Cenová nabídka musí být včetně veškerého souvisejícího doplňkového, podružného a montážního materiálu.
Při realizaci je dodavatel povinen koordinovat postup prací se stavbou a ostatními profesemi, postupovat v souladu příslušnými předpisy a návody pro montáž jednotlivých zařízení, dodržovat bezpečnostní a protipožární předpisy.</t>
  </si>
  <si>
    <t>Kód</t>
  </si>
  <si>
    <t>317168122R00</t>
  </si>
  <si>
    <t>317168111R00</t>
  </si>
  <si>
    <t>3101VP</t>
  </si>
  <si>
    <t>3102VP</t>
  </si>
  <si>
    <t>342264513R00</t>
  </si>
  <si>
    <t>346275114R00</t>
  </si>
  <si>
    <t>342240012RA0</t>
  </si>
  <si>
    <t>342240011RA0</t>
  </si>
  <si>
    <t>342948111R00</t>
  </si>
  <si>
    <t>416051262R00</t>
  </si>
  <si>
    <t>416022123R00</t>
  </si>
  <si>
    <t>612409991RT2</t>
  </si>
  <si>
    <t>612421626R00</t>
  </si>
  <si>
    <t>612481211RT2</t>
  </si>
  <si>
    <t>631312621R00</t>
  </si>
  <si>
    <t>631319171R00</t>
  </si>
  <si>
    <t>6401VP</t>
  </si>
  <si>
    <t>642944121RU4</t>
  </si>
  <si>
    <t>6402VP</t>
  </si>
  <si>
    <t>6403VP</t>
  </si>
  <si>
    <t>6404VP</t>
  </si>
  <si>
    <t>6405VP</t>
  </si>
  <si>
    <t>6406VP</t>
  </si>
  <si>
    <t>6407VP</t>
  </si>
  <si>
    <t>6408VP</t>
  </si>
  <si>
    <t>711</t>
  </si>
  <si>
    <t>711212000R00</t>
  </si>
  <si>
    <t>711212601R00</t>
  </si>
  <si>
    <t>283551331</t>
  </si>
  <si>
    <t>711212921R00</t>
  </si>
  <si>
    <t>58556678741</t>
  </si>
  <si>
    <t>713</t>
  </si>
  <si>
    <t>713100813R00</t>
  </si>
  <si>
    <t>713121111RV4</t>
  </si>
  <si>
    <t>722</t>
  </si>
  <si>
    <t>7221VP</t>
  </si>
  <si>
    <t>7222VP</t>
  </si>
  <si>
    <t>7223VP</t>
  </si>
  <si>
    <t>728</t>
  </si>
  <si>
    <t>7281VP</t>
  </si>
  <si>
    <t>7282VP</t>
  </si>
  <si>
    <t>731</t>
  </si>
  <si>
    <t>7311VP</t>
  </si>
  <si>
    <t>7312VP</t>
  </si>
  <si>
    <t>766</t>
  </si>
  <si>
    <t>766900010RA0</t>
  </si>
  <si>
    <t>766900040RA0</t>
  </si>
  <si>
    <t>7661VP</t>
  </si>
  <si>
    <t>7662VP</t>
  </si>
  <si>
    <t>7663VP</t>
  </si>
  <si>
    <t>7664VP</t>
  </si>
  <si>
    <t>7665VP</t>
  </si>
  <si>
    <t>767</t>
  </si>
  <si>
    <t>767649191R00</t>
  </si>
  <si>
    <t>7671VP</t>
  </si>
  <si>
    <t>771</t>
  </si>
  <si>
    <t>7711VP</t>
  </si>
  <si>
    <t>771101210RT1</t>
  </si>
  <si>
    <t>771570014RAI</t>
  </si>
  <si>
    <t>7712VP</t>
  </si>
  <si>
    <t>7713VP</t>
  </si>
  <si>
    <t>771475014R00</t>
  </si>
  <si>
    <t>7714VP</t>
  </si>
  <si>
    <t>781</t>
  </si>
  <si>
    <t>781101210RT1</t>
  </si>
  <si>
    <t>781475120R00</t>
  </si>
  <si>
    <t>7811VP</t>
  </si>
  <si>
    <t>7812VP</t>
  </si>
  <si>
    <t>781497132RS2</t>
  </si>
  <si>
    <t>783</t>
  </si>
  <si>
    <t>783900020RAA</t>
  </si>
  <si>
    <t>783220010RA0</t>
  </si>
  <si>
    <t>784</t>
  </si>
  <si>
    <t>784111701R00</t>
  </si>
  <si>
    <t>784115712R00</t>
  </si>
  <si>
    <t>784191201R00</t>
  </si>
  <si>
    <t>784195212R00</t>
  </si>
  <si>
    <t>941955003R00</t>
  </si>
  <si>
    <t>941955002R00</t>
  </si>
  <si>
    <t>9501VP</t>
  </si>
  <si>
    <t>952902110R00</t>
  </si>
  <si>
    <t>952901111R00</t>
  </si>
  <si>
    <t>9502VP</t>
  </si>
  <si>
    <t>9503VP</t>
  </si>
  <si>
    <t>9504VP</t>
  </si>
  <si>
    <t>963016111R00</t>
  </si>
  <si>
    <t>966077111R00</t>
  </si>
  <si>
    <t>968061125R00</t>
  </si>
  <si>
    <t>968072455R00</t>
  </si>
  <si>
    <t>968062455R00</t>
  </si>
  <si>
    <t>965081713RT2</t>
  </si>
  <si>
    <t>965042141RT3</t>
  </si>
  <si>
    <t>965081713RT1</t>
  </si>
  <si>
    <t>965048150R00</t>
  </si>
  <si>
    <t>970051100R00</t>
  </si>
  <si>
    <t>970051130R00</t>
  </si>
  <si>
    <t>978059521R00</t>
  </si>
  <si>
    <t>970231200R00</t>
  </si>
  <si>
    <t>971100021RA0</t>
  </si>
  <si>
    <t>970231150R00</t>
  </si>
  <si>
    <t>970231300R00</t>
  </si>
  <si>
    <t>H01</t>
  </si>
  <si>
    <t>998011002R00</t>
  </si>
  <si>
    <t>M21</t>
  </si>
  <si>
    <t>2101VP</t>
  </si>
  <si>
    <t>2102VP</t>
  </si>
  <si>
    <t>M22</t>
  </si>
  <si>
    <t>220890084R00</t>
  </si>
  <si>
    <t>S</t>
  </si>
  <si>
    <t>979011111R00</t>
  </si>
  <si>
    <t>979082111R00</t>
  </si>
  <si>
    <t>979082121R00</t>
  </si>
  <si>
    <t>979083117R00</t>
  </si>
  <si>
    <t>979083191R00</t>
  </si>
  <si>
    <t>979990001R00</t>
  </si>
  <si>
    <t>Revitalizace saunového provozu</t>
  </si>
  <si>
    <t>Stavební úpravy</t>
  </si>
  <si>
    <t>parc.č. 1977/11, k.ú. Třeboň 770230</t>
  </si>
  <si>
    <t>Zkrácený popis</t>
  </si>
  <si>
    <t>Rozměry</t>
  </si>
  <si>
    <t>Zdi podpěrné a volné</t>
  </si>
  <si>
    <t>Překlad POROTHERM plochý 145x71x1250 mm</t>
  </si>
  <si>
    <t>Překlad POROTHERM plochý 115x71x1000 mm</t>
  </si>
  <si>
    <t>Překlad POROTHERM plochý 115x71x1000 mm - včetně zkrácení na délku 750mm</t>
  </si>
  <si>
    <t>Překlad POROTHERM plochý 115x71x1000 mm - včetně zkrácení na délku 850mm</t>
  </si>
  <si>
    <t>Stěny a příčky</t>
  </si>
  <si>
    <t>Revizní dvířka do SDK podhledu, 300x300 mm</t>
  </si>
  <si>
    <t>Přizdívky z desek Ytong tl. 125 mm</t>
  </si>
  <si>
    <t>(1,65+1,925)*3,2</t>
  </si>
  <si>
    <t>Příčka jednoduchá z cihel Porotherm P+D tl.11,5 cm</t>
  </si>
  <si>
    <t>(0,555+0,815)*3,2</t>
  </si>
  <si>
    <t>0,7*2,02</t>
  </si>
  <si>
    <t>0,793*3,2</t>
  </si>
  <si>
    <t>Příčka jednoduchá z cihel Porotherm P+D tl. 8 cm</t>
  </si>
  <si>
    <t>(0,7+0,7)*3,2</t>
  </si>
  <si>
    <t>Ukotvení příček k cihel.konstr. kotvami na hmožd.</t>
  </si>
  <si>
    <t>3,2*9</t>
  </si>
  <si>
    <t>Stropy a stropní konstrukce (pro pozemní stavby)</t>
  </si>
  <si>
    <t>Dvouúr.rošt,1xRigiton RL8-15-20 tl.12,5,bez izol</t>
  </si>
  <si>
    <t>2,63+10,41</t>
  </si>
  <si>
    <t>Podhled SDK,ocel.dvouúrov.křížový rošt,1x RBI 12,5</t>
  </si>
  <si>
    <t>5,65+4,66+18,83+7,65+5,1+7,56</t>
  </si>
  <si>
    <t>(3,91+1,42+1,43+0,91+5,34+2,33)*0,2</t>
  </si>
  <si>
    <t>Úprava povrchů vnitřní</t>
  </si>
  <si>
    <t>Začištění omítek kolem oken,dveří apod.</t>
  </si>
  <si>
    <t>Omítka vnitřní zdiva, MVC, hladká</t>
  </si>
  <si>
    <t>8,33+8,33+4,48+4,48</t>
  </si>
  <si>
    <t>Montáž výztužné sítě (perlinky) do stěrky-stěny včetně výztužné sítě a stěrkového tmelu</t>
  </si>
  <si>
    <t>11,44</t>
  </si>
  <si>
    <t>Podlahy a podlahové konstrukce</t>
  </si>
  <si>
    <t>Mazanina betonová tl. 5 - 8 cm C 20/25</t>
  </si>
  <si>
    <t>4,66*0,06</t>
  </si>
  <si>
    <t>Příplatek za stržení povrchu mazaniny tl. do 8 cm</t>
  </si>
  <si>
    <t>Výplně otvorů</t>
  </si>
  <si>
    <t>Dodávka a montáž jednokřídlových dveří 700/1970, kování, celoobvodové těsnění - viz tabulka dveří D1</t>
  </si>
  <si>
    <t>Osazení ocelových zárubní dodatečně do 2,5 m2 včetně dodávky zárubně  80x197</t>
  </si>
  <si>
    <t>Dodávka a montáž jednokřídlových dveří 800/1970, kování, celoobvodové těsnění - viz tabulka dveří D2</t>
  </si>
  <si>
    <t>Dodávka a montáž jednokřídlových dveří 700/1970, kování, celoobvodové těsnění - viz tabulka dveří D3</t>
  </si>
  <si>
    <t>Dodávka a montáž jednokřídlových hliníkových dveří 800/1970, hliníková reverzní zárubeň, kování, celoobvodové těsnění - viz tabulka dveří D4</t>
  </si>
  <si>
    <t>Dodávka a montáž jednokřídlových hliníkových dveří 800/1970, hliníková zárubeň, kování, celoobvodové těsnění - viz tabulka dveří D5</t>
  </si>
  <si>
    <t>Dodávka a montáž jednokřídlových hliníkových dveří 700/1970, hliníková reverzní zárubeň, kování, celoobvodové těsnění - viz tabulka dveří D6</t>
  </si>
  <si>
    <t>Demontáž, úprava a zpětná montáž stávajících dveří, zárubně a madel - viz tabulka dveří D7</t>
  </si>
  <si>
    <t>Demontáž, úprava a zpětná montáž stávajících dveří včetně příslušenství - viz tabulka dveří D8</t>
  </si>
  <si>
    <t>Izolace proti vodě</t>
  </si>
  <si>
    <t>Penetrace podkladu pod hydroizolační nátěr</t>
  </si>
  <si>
    <t>5,65+2,63+4,66+29,24+7,65+5,1+3,36+7,56+3,53+1,45</t>
  </si>
  <si>
    <t>(7,65+5,75+23,11+9,61+6,28+5,82+9,145+5,94+4,1)*0,15</t>
  </si>
  <si>
    <t>8,21*2,8</t>
  </si>
  <si>
    <t>Těsnicí pás do spoje podlaha - stěna</t>
  </si>
  <si>
    <t>7,65+5,75+23,11+9,61+6,28+5,82+9,145+5,94+4,1</t>
  </si>
  <si>
    <t>8,21</t>
  </si>
  <si>
    <t>Páska hydroizolační š. 120 mm, dl. 50 m</t>
  </si>
  <si>
    <t>Provedení hydroizolační těsnicí stěrky 2x</t>
  </si>
  <si>
    <t>Jednosložková, vodonepropustná, paroprustná izolační hmota, bezesparé hydroizolace - dvě vrstvy, spotřeba cca 1,5kg/m2/mm při tloušťce 1vrstvy nátěru</t>
  </si>
  <si>
    <t>105,43*3</t>
  </si>
  <si>
    <t>Izolace tepelné</t>
  </si>
  <si>
    <t>Odstranění tepelné izolace, polystyrén tl. nad 5cm</t>
  </si>
  <si>
    <t>4,66</t>
  </si>
  <si>
    <t>Izolace tepelná podlah na sucho, jednovrstvá včetně dodávky polystyren tl. 80 mm</t>
  </si>
  <si>
    <t>Zdravotechnika</t>
  </si>
  <si>
    <t>Demontáž stávající sanity a doplňků osobní hygieny</t>
  </si>
  <si>
    <t>Zdravotní instalace (kanalizace, vodoinstalace)</t>
  </si>
  <si>
    <t>Stavební přípomoce pro zdravotní instalace</t>
  </si>
  <si>
    <t>Vzduchotechnika</t>
  </si>
  <si>
    <t>Stavební přípomoce pro vzduchotechniku</t>
  </si>
  <si>
    <t>Ústřední vytápění</t>
  </si>
  <si>
    <t>Stavební přípomoce pro ústřední vytápění</t>
  </si>
  <si>
    <t>Mobiliáře a vestavné prvky</t>
  </si>
  <si>
    <t>Demontáž obložení stěn</t>
  </si>
  <si>
    <t>1,825*2,818</t>
  </si>
  <si>
    <t>Demontáž dřevěných stěn</t>
  </si>
  <si>
    <t>1,65*2</t>
  </si>
  <si>
    <t>1,655*2</t>
  </si>
  <si>
    <t>Demontáž stávajících poliček, laviček, nástěnných zrcadel a tabulí, věšáků, nástěnných hodin a tabulek s piktogramy</t>
  </si>
  <si>
    <t>Dodávka mobiliáře a vestavných prvků - viz samostatný rozpočet</t>
  </si>
  <si>
    <t>Kompletace, montáž mobiliáře a vestavných prvků - viz samostatný rozpočet</t>
  </si>
  <si>
    <t>Demontáž, úprava a zpětná montáž stávajících šatních skříněk</t>
  </si>
  <si>
    <t>Demontáž, úprava a zpětná montáž stávající úložné skříně</t>
  </si>
  <si>
    <t>Konstrukce doplňkové stavební (zámečnické)</t>
  </si>
  <si>
    <t>Montáž doplňků dveří, samozavírače hydraulického</t>
  </si>
  <si>
    <t>Samozavírač vnitřních dveří - do hrany křídla</t>
  </si>
  <si>
    <t>Podlahy z dlaždic</t>
  </si>
  <si>
    <t>Lokální vyrovnání podkladů samonivel. hmotou tl. do 30 mm - 30% z celkové plochy</t>
  </si>
  <si>
    <t>(5,56+2,54+29,46+7,64+5,23+3,36+7,31+3,45+1,45)*0,3</t>
  </si>
  <si>
    <t>Penetrace podkladu pod dlažby</t>
  </si>
  <si>
    <t>Dlažba z dlaždic keramických do tmele, spárovací hmota, dlažba ve specifikaci</t>
  </si>
  <si>
    <t>Dlažba Rako Faro 150x600mm DARSU717 - mat</t>
  </si>
  <si>
    <t>(5,65+2,63+4,66+29,24+7,65+5,1+3,36+7,56+3,53+1,45)*1,15</t>
  </si>
  <si>
    <t>Dodávka a montáž nerezové přechodové lišty</t>
  </si>
  <si>
    <t>(0,9+0,8+0,8+0,9+0,7+0,8+0,7+0,7+0,8+0,8+0,7)*1,1</t>
  </si>
  <si>
    <t>Obklad soklíků keram.rovných, tmel, spárovací hmota, výška 15 cm, dlažba ve specifikaci</t>
  </si>
  <si>
    <t>(7,65+5,75+23,11+9,61+6,28+5,82+9,145+5,94+4,1)*0,15*1,15</t>
  </si>
  <si>
    <t>Obklady (keramické)</t>
  </si>
  <si>
    <t>Penetrace podkladu pod obklady</t>
  </si>
  <si>
    <t>(2,1+2,1+1,56+1,56+1+1+1,45+1,45+2,085+2,085+1,685+1,685)*2,15</t>
  </si>
  <si>
    <t>-0,8*1,97*2</t>
  </si>
  <si>
    <t>-0,7*1,97*2</t>
  </si>
  <si>
    <t>-0,9*1,97</t>
  </si>
  <si>
    <t>(3,37+0,7+0,08+0,7+0,725+0,7+0,08+0,7+1,785+1,34+1,415+0,89)*2,65</t>
  </si>
  <si>
    <t>-0,8*1,82*2</t>
  </si>
  <si>
    <t>-0,7*1,82</t>
  </si>
  <si>
    <t>-0,7*1,77</t>
  </si>
  <si>
    <t>(1,17+1,153+0,115+0,793+1,925+2,355+1,925+0,813+0,115+1,028+0,275+0,4+0,21)*2,65</t>
  </si>
  <si>
    <t>-0,8*1,82</t>
  </si>
  <si>
    <t>(1,865+1,865+1,36+1,36)*2,65</t>
  </si>
  <si>
    <t>(4,095+5,3+4,095+5,3)*0,525</t>
  </si>
  <si>
    <t>(1,77+1,77)*0,415</t>
  </si>
  <si>
    <t>Obklad vnitřní stěn keramický, do tmele, spárovací hmota, obklad ve specifikaci</t>
  </si>
  <si>
    <t>Obklad Rako Alba 300x600mm DARSE731 - mat</t>
  </si>
  <si>
    <t>(3,37+0,7+0,08+0,7+0,725+0,7+0,08+0,7+1,785+1,34+1,415+0,89)*2,65*1,15</t>
  </si>
  <si>
    <t>(1,17+1,153+0,115+0,793+1,925+2,355+1,925+0,813+0,115+1,028+0,275+0,4+0,21)*2,65*1,15</t>
  </si>
  <si>
    <t>(1,865+1,865+1,36+1,36)*2,65*1,15</t>
  </si>
  <si>
    <t>(4,095+5,3+4,095+5,3)*0,525*1,15</t>
  </si>
  <si>
    <t>(1,77+1,77)*0,415*1,15</t>
  </si>
  <si>
    <t>Obklad Rako Color One 150x150mm WAA19108</t>
  </si>
  <si>
    <t>(2,1+2,1+1,56+1,56+1+1+1,45+1,45+2,085+2,085+1,685+1,685)*2,15*1,15</t>
  </si>
  <si>
    <t>Lišta nerezová rohová k obkladům se zaoblenou hranou</t>
  </si>
  <si>
    <t>1*2,15</t>
  </si>
  <si>
    <t>10*2,8</t>
  </si>
  <si>
    <t>5,3+5,3+5,3+5,3+1,77+1,77+1,77+1,77+4,095+4,095+4,095+4,095</t>
  </si>
  <si>
    <t>0,6+0,6+0,6+0,6+0,6+0,6+0,9+0,9</t>
  </si>
  <si>
    <t>Nátěry</t>
  </si>
  <si>
    <t>Odstranění nátěrů z kovových doplňkových kostrukcí</t>
  </si>
  <si>
    <t>1,41*4</t>
  </si>
  <si>
    <t>Nátěr kovových doplňkových konstrukcí syntetický</t>
  </si>
  <si>
    <t>1,41*5</t>
  </si>
  <si>
    <t>Malby</t>
  </si>
  <si>
    <t>Penetrace podkladu nátěrem sádrokarton 1x</t>
  </si>
  <si>
    <t>3,36+1,45+3,53</t>
  </si>
  <si>
    <t>Malba sádrokarton, bílá, bez penetrace, 2 x</t>
  </si>
  <si>
    <t>Penetrace podkladu 1x</t>
  </si>
  <si>
    <t>(2,055+3,59+0,88+0,145+0,995+3,745+1,67+1,8+1,085+1,45+1,1+1,675)*2,65</t>
  </si>
  <si>
    <t>-0,7*1,82*2</t>
  </si>
  <si>
    <t>(2,1+2,1+1,56+1,56+1+1+1,45+1,45+2,085+2,085+1,685+1,685)*0,65</t>
  </si>
  <si>
    <t>Malba tekutá, bílá, 2 x</t>
  </si>
  <si>
    <t>Lešení a stavební výtahy</t>
  </si>
  <si>
    <t>Lešení lehké pomocné, výška podlahy do 2,5 m</t>
  </si>
  <si>
    <t>2,5*2</t>
  </si>
  <si>
    <t>Lešení lehké pomocné, výška podlahy do 1,9 m</t>
  </si>
  <si>
    <t>5,65+2,63+4,66+29,24+7,65+5,1+7,56</t>
  </si>
  <si>
    <t>Různé dokončovací konstrukce a práce na pozemních stavbách</t>
  </si>
  <si>
    <t>Zakrývání technologie proti poškození, včetně odstranění</t>
  </si>
  <si>
    <t>Čištění zametáním v místnostech a chodbách</t>
  </si>
  <si>
    <t>5,56+2,54+1,47+3,14+29,46+7,64+5,23+3,36+7,31+3,45+1,45</t>
  </si>
  <si>
    <t>Vyčištění budov o výšce podlaží do 4 m</t>
  </si>
  <si>
    <t>17,71+5,65+2,63+4,66+29,24+7,65+5,1+3,36+7,56+3,53+1,45</t>
  </si>
  <si>
    <t>Částečná úprava povrchů, instalací a vybavení místnosti sauny - potírna</t>
  </si>
  <si>
    <t>Dodávka a montáž SDK police, nosnost konstrukce 10kg/mb</t>
  </si>
  <si>
    <t>4,095+1,77+5,3+4,095+1,77+5,3</t>
  </si>
  <si>
    <t>Dodávka a montáž obkladu ze saunových palubek (olše) včetně doplňků</t>
  </si>
  <si>
    <t>(3,825+4,915+1,05+2,13+1,515+2,04+5,3+1,77+4,095)*2,65</t>
  </si>
  <si>
    <t>-0,9*1,82</t>
  </si>
  <si>
    <t>Bourání konstrukcí</t>
  </si>
  <si>
    <t>DMTZ podhledu SDK, kovová kce., 1xoplášť.12,5 mm</t>
  </si>
  <si>
    <t>5,56+2,54+1,47+3,14+29,46+7,64+5,23+7,31</t>
  </si>
  <si>
    <t>Odstranění doplňkových konstrukcí do 20 kg</t>
  </si>
  <si>
    <t>Vyvěšení dřevěných dveřních křídel pl. do 2 m2</t>
  </si>
  <si>
    <t>Vybourání kovových dveřních zárubní pl. do 2 m2</t>
  </si>
  <si>
    <t>0,7*2,02*2</t>
  </si>
  <si>
    <t>0,9*2,02</t>
  </si>
  <si>
    <t>0,8*2,02</t>
  </si>
  <si>
    <t>Vybourání dřevěných dveřních zárubní pl. do 2 m2</t>
  </si>
  <si>
    <t>0,56*1,8</t>
  </si>
  <si>
    <t>0,6*1,97</t>
  </si>
  <si>
    <t>Bourání dlaždic keramických tl. 1 cm, nad 1 m2 sbíječka, dlaždice keramické</t>
  </si>
  <si>
    <t>Bourání mazanin betonových tl. 10 cm, nad 4 m2 sbíječka tl. mazaniny 5 - 8 cm</t>
  </si>
  <si>
    <t>4,66*0,08</t>
  </si>
  <si>
    <t>Bourání dlaždic keramických tl. 1 cm, nad 1 m2 ručně, dlaždice keramické - 50% z celkové plochy</t>
  </si>
  <si>
    <t>(5,56+2,54+29,46+7,64+5,23+3,36+7,31+3,45+1,45)*0,5</t>
  </si>
  <si>
    <t>Dočištění povrchu po vybourání dlažeb, tmel do 50%</t>
  </si>
  <si>
    <t>Prorážení otvorů a ostatní bourací práce</t>
  </si>
  <si>
    <t>Vrtání jádrové do ŽB do D 100 mm</t>
  </si>
  <si>
    <t>0,35</t>
  </si>
  <si>
    <t>Vrtání jádrové do ŽB do D 130 mm</t>
  </si>
  <si>
    <t>Odsekání vnitřních obkladů stěn do 2 m2</t>
  </si>
  <si>
    <t>0,9*2*3</t>
  </si>
  <si>
    <t>0,705*3,2</t>
  </si>
  <si>
    <t>Řezání cihelného zdiva hl. řezu do 200 mm</t>
  </si>
  <si>
    <t>1,25+0,075+1,25+0,075</t>
  </si>
  <si>
    <t>2,02+2,02</t>
  </si>
  <si>
    <t>Vybourání otvorů ve zdivu cihelném</t>
  </si>
  <si>
    <t>1,25*0,075</t>
  </si>
  <si>
    <t>1,655*1,2</t>
  </si>
  <si>
    <t>1*0,075</t>
  </si>
  <si>
    <t>1,07*1,2</t>
  </si>
  <si>
    <t>0,81*1,2</t>
  </si>
  <si>
    <t>0,65*0,5</t>
  </si>
  <si>
    <t>Řezání cihelného zdiva hl. řezu do 150 mm</t>
  </si>
  <si>
    <t>1,2+1,2</t>
  </si>
  <si>
    <t>1+0,075+1+0,075</t>
  </si>
  <si>
    <t>1,2+1,2+1,2+1,2</t>
  </si>
  <si>
    <t>3,2+3,2</t>
  </si>
  <si>
    <t>Řezání cihelného zdiva hl. řezu do 300 mm</t>
  </si>
  <si>
    <t>0,5+0,65+0,5</t>
  </si>
  <si>
    <t>Budovy občanské výstavby</t>
  </si>
  <si>
    <t>Přesun hmot pro budovy zděné výšky do 12 m</t>
  </si>
  <si>
    <t>54,83</t>
  </si>
  <si>
    <t>Elektroinstalace</t>
  </si>
  <si>
    <t>Stavební přípomoce pro elektroinstalace</t>
  </si>
  <si>
    <t>Inženýrská činnost</t>
  </si>
  <si>
    <t>Účast projektanta na stavbě</t>
  </si>
  <si>
    <t>Přesuny sutí</t>
  </si>
  <si>
    <t>Svislá doprava suti a vybour. hmot za 2.NP a 1.PP</t>
  </si>
  <si>
    <t>14,97</t>
  </si>
  <si>
    <t>Vnitrostaveništní doprava suti do 10 m</t>
  </si>
  <si>
    <t>Příplatek k vnitrost. dopravě suti za dalších 5 m</t>
  </si>
  <si>
    <t>14,97*15</t>
  </si>
  <si>
    <t>Vodorovné přemístění suti na skládku do 6000 m</t>
  </si>
  <si>
    <t>Příplatek za dalších započatých 1000 m nad 6000 m</t>
  </si>
  <si>
    <t>14,97*7</t>
  </si>
  <si>
    <t>Poplatek za skládku stavební suti</t>
  </si>
  <si>
    <t>Doba výstavby:</t>
  </si>
  <si>
    <t>Začátek výstavby:</t>
  </si>
  <si>
    <t>Konec výstavby:</t>
  </si>
  <si>
    <t>Zpracováno dne:</t>
  </si>
  <si>
    <t>M.j.</t>
  </si>
  <si>
    <t>kus</t>
  </si>
  <si>
    <t>m2</t>
  </si>
  <si>
    <t>m</t>
  </si>
  <si>
    <t>m3</t>
  </si>
  <si>
    <t>kg</t>
  </si>
  <si>
    <t>kpl</t>
  </si>
  <si>
    <t>t</t>
  </si>
  <si>
    <t>h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</si>
  <si>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</si>
  <si>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</si>
  <si>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</si>
  <si>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</si>
  <si>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</si>
  <si>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</si>
  <si>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</si>
  <si>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</si>
  <si>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</si>
  <si>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</si>
  <si>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</si>
  <si>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Slatinné lázně Třeboň,s.r.o.,Lázeňská 1001,Třeboň</t>
  </si>
  <si>
    <t>Ing.arch. Lukáš Švejda</t>
  </si>
  <si>
    <t>Celkem</t>
  </si>
  <si>
    <t>Hmotnost (t)</t>
  </si>
  <si>
    <t>Cenová</t>
  </si>
  <si>
    <t>soustava</t>
  </si>
  <si>
    <t>RTS II / 2015</t>
  </si>
  <si>
    <t>Vlastní</t>
  </si>
  <si>
    <t>0</t>
  </si>
  <si>
    <t>Přesuny</t>
  </si>
  <si>
    <t>Typ skupiny</t>
  </si>
  <si>
    <t>HS</t>
  </si>
  <si>
    <t>PS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</si>
  <si>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</si>
  <si>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</si>
  <si>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</si>
  <si>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</si>
  <si>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</si>
  <si>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</si>
  <si>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</si>
  <si>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</si>
  <si>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</si>
  <si>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34_</t>
  </si>
  <si>
    <t>41_</t>
  </si>
  <si>
    <t>61_</t>
  </si>
  <si>
    <t>63_</t>
  </si>
  <si>
    <t>64_</t>
  </si>
  <si>
    <t>711_</t>
  </si>
  <si>
    <t>713_</t>
  </si>
  <si>
    <t>722_</t>
  </si>
  <si>
    <t>728_</t>
  </si>
  <si>
    <t>731_</t>
  </si>
  <si>
    <t>766_</t>
  </si>
  <si>
    <t>767_</t>
  </si>
  <si>
    <t>771_</t>
  </si>
  <si>
    <t>781_</t>
  </si>
  <si>
    <t>783_</t>
  </si>
  <si>
    <t>784_</t>
  </si>
  <si>
    <t>94_</t>
  </si>
  <si>
    <t>95_</t>
  </si>
  <si>
    <t>96_</t>
  </si>
  <si>
    <t>97_</t>
  </si>
  <si>
    <t>H01_</t>
  </si>
  <si>
    <t>M21_</t>
  </si>
  <si>
    <t>M22_</t>
  </si>
  <si>
    <t>S_</t>
  </si>
  <si>
    <t>3_</t>
  </si>
  <si>
    <t>4_</t>
  </si>
  <si>
    <t>6_</t>
  </si>
  <si>
    <t>71_</t>
  </si>
  <si>
    <t>72_</t>
  </si>
  <si>
    <t>73_</t>
  </si>
  <si>
    <t>76_</t>
  </si>
  <si>
    <t>77_</t>
  </si>
  <si>
    <t>78_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</si>
  <si>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</si>
  <si>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</si>
  <si>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</si>
  <si>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</si>
  <si>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</si>
  <si>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</si>
  <si>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</si>
  <si>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</si>
  <si>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</si>
  <si>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</si>
  <si>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</si>
  <si>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</si>
  <si>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</si>
  <si>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</si>
  <si>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</si>
  <si>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</si>
  <si>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</si>
  <si>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</si>
  <si>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</si>
  <si>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Rozpočtová rezerva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</si>
  <si>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</si>
  <si>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</si>
  <si>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</si>
  <si>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</si>
  <si>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</si>
  <si>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</si>
  <si>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</si>
  <si>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</si>
  <si>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</si>
  <si>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</si>
  <si>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</si>
  <si>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</si>
  <si>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</si>
  <si>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</si>
  <si>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</si>
  <si>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</si>
  <si>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</si>
  <si>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</si>
  <si>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</si>
  <si>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Dodavatel provede kontrolu a případnou kompletaci jednotlivých sad zařizovacích prvků</t>
  </si>
  <si>
    <t>OZNAČ. PROJ.</t>
  </si>
  <si>
    <t>213</t>
  </si>
  <si>
    <t>Sauna sprchy</t>
  </si>
  <si>
    <t>Výrobek</t>
  </si>
  <si>
    <t>Popis</t>
  </si>
  <si>
    <t>Požadavek</t>
  </si>
  <si>
    <t>Č. položky</t>
  </si>
  <si>
    <t>Výrobce</t>
  </si>
  <si>
    <t>Označení modelu</t>
  </si>
  <si>
    <t>povrch</t>
  </si>
  <si>
    <t>Ks</t>
  </si>
  <si>
    <t>Dodávka    Kč/KS</t>
  </si>
  <si>
    <t>Dodávka           Kč bez DPH</t>
  </si>
  <si>
    <t>Kompletace/ montáž</t>
  </si>
  <si>
    <t>Odkazy</t>
  </si>
  <si>
    <t>Kč/KS</t>
  </si>
  <si>
    <t>Kč bez DPH</t>
  </si>
  <si>
    <t>M11</t>
  </si>
  <si>
    <t>Nástěnný věšák S</t>
  </si>
  <si>
    <t>věšák 90mm</t>
  </si>
  <si>
    <t>velikost S</t>
  </si>
  <si>
    <t>MUU-03093</t>
  </si>
  <si>
    <t>Muuto</t>
  </si>
  <si>
    <t>The Dots</t>
  </si>
  <si>
    <t>černá</t>
  </si>
  <si>
    <t>https://www.designville.cz/the-dots-s-black</t>
  </si>
  <si>
    <t xml:space="preserve">MUU-03103 </t>
  </si>
  <si>
    <t>žlutá</t>
  </si>
  <si>
    <t>https://www.designville.cz/the-dots-s-yellow</t>
  </si>
  <si>
    <t xml:space="preserve">MUU-03173 </t>
  </si>
  <si>
    <t>petrolejová</t>
  </si>
  <si>
    <t>https://www.designville.cz/the-dots-s-petroleum</t>
  </si>
  <si>
    <t xml:space="preserve">MUU-03153 </t>
  </si>
  <si>
    <t>růžová</t>
  </si>
  <si>
    <t>https://www.designville.cz/the-dots-s-rose</t>
  </si>
  <si>
    <t>Nástěnný věšák M</t>
  </si>
  <si>
    <t>věšák 130mm</t>
  </si>
  <si>
    <t>velikost M</t>
  </si>
  <si>
    <t xml:space="preserve">MUU-03092 </t>
  </si>
  <si>
    <t>https://www.designville.cz/the-dots-m-black</t>
  </si>
  <si>
    <t xml:space="preserve">MUU-03102 </t>
  </si>
  <si>
    <t>https://www.designville.cz/the-dots-m-yellow</t>
  </si>
  <si>
    <t xml:space="preserve">MUU-03172 </t>
  </si>
  <si>
    <t>https://www.designville.cz/the-dots-m-petroleum</t>
  </si>
  <si>
    <t xml:space="preserve">MUU-03152 </t>
  </si>
  <si>
    <t>https://www.designville.cz/the-dots-m-rose</t>
  </si>
  <si>
    <t>Nástěnný věšák L</t>
  </si>
  <si>
    <t>věšák 170mm</t>
  </si>
  <si>
    <t>velikost L</t>
  </si>
  <si>
    <t>MUU-03091</t>
  </si>
  <si>
    <t>https://www.designville.cz/the-dots-l-black</t>
  </si>
  <si>
    <t xml:space="preserve">MUU-03101 </t>
  </si>
  <si>
    <t>https://www.designville.cz/the-dots-l-yellow</t>
  </si>
  <si>
    <t xml:space="preserve">MUU-03171 </t>
  </si>
  <si>
    <t>https://www.designville.cz/the-dots-l-petroleum</t>
  </si>
  <si>
    <t xml:space="preserve">MUU-03151 </t>
  </si>
  <si>
    <t>https://www.designville.cz/the-dots-l-rose</t>
  </si>
  <si>
    <t>CELKEM</t>
  </si>
  <si>
    <t>V12</t>
  </si>
  <si>
    <t>Podlahový žlábek antivandal</t>
  </si>
  <si>
    <t>délka 950mm</t>
  </si>
  <si>
    <t>antivandal</t>
  </si>
  <si>
    <t>Alcaplast</t>
  </si>
  <si>
    <t>APZ11-950L Antivandal</t>
  </si>
  <si>
    <t>rošt Buble</t>
  </si>
  <si>
    <t>V13</t>
  </si>
  <si>
    <t>délka 550mm</t>
  </si>
  <si>
    <t>APZ11-550L Antivandal</t>
  </si>
  <si>
    <t>214</t>
  </si>
  <si>
    <t>WC</t>
  </si>
  <si>
    <t>M5</t>
  </si>
  <si>
    <t>Zásobník ubrousků na stěnu</t>
  </si>
  <si>
    <t>DODÁVKA INVESTOR</t>
  </si>
  <si>
    <t>broušená nerez</t>
  </si>
  <si>
    <t>M6</t>
  </si>
  <si>
    <t>Dávkovač mýdla</t>
  </si>
  <si>
    <t>M7</t>
  </si>
  <si>
    <t>Madlo</t>
  </si>
  <si>
    <t>600mm</t>
  </si>
  <si>
    <t>8102030007183</t>
  </si>
  <si>
    <t>Franke</t>
  </si>
  <si>
    <t>CNTX600N madlo k montáži na stěnu, nerez satén, průměr trubky 32 mm</t>
  </si>
  <si>
    <t>nerez</t>
  </si>
  <si>
    <t>http://www.citroenair.cz/franke-cntx600n-madlo/product/3189</t>
  </si>
  <si>
    <t>M8</t>
  </si>
  <si>
    <t>Zásobník toaletního papíru</t>
  </si>
  <si>
    <t>M9</t>
  </si>
  <si>
    <t>Souprava pro čištění klozetu</t>
  </si>
  <si>
    <t>závěsná s krytem</t>
  </si>
  <si>
    <t xml:space="preserve">PA 12094W-26 </t>
  </si>
  <si>
    <t>Nimco</t>
  </si>
  <si>
    <t>Pallas Athéna</t>
  </si>
  <si>
    <t>https://www.onlinekoupelny.cz/koupelnove-doplnky/wc-stetky/nimco-pallas-athena-wc-kartac-chrom-pa-12094w-26</t>
  </si>
  <si>
    <t>M10</t>
  </si>
  <si>
    <t>Zavěšené zrcadlo</t>
  </si>
  <si>
    <t>700x1200mm</t>
  </si>
  <si>
    <t>zabroušení hran, lepeno na obklad</t>
  </si>
  <si>
    <t>Nástěnný věšák</t>
  </si>
  <si>
    <t>věšák</t>
  </si>
  <si>
    <t>V6</t>
  </si>
  <si>
    <t>Umyvadlová sestava</t>
  </si>
  <si>
    <t>Umyvadlo</t>
  </si>
  <si>
    <t>litý mramor 700x450mm</t>
  </si>
  <si>
    <r>
      <t>- kotvení na ocelové konzole, otvory pro stojánkové baterie Grohe Eurosmart Cosmopolitan E,</t>
    </r>
    <r>
      <rPr>
        <sz val="10"/>
        <rFont val="Arial"/>
        <family val="2"/>
      </rPr>
      <t xml:space="preserve"> dávkovač mýdla SanTRAL CMD 6</t>
    </r>
  </si>
  <si>
    <t>53303</t>
  </si>
  <si>
    <t>Gelco</t>
  </si>
  <si>
    <t>Klára 70</t>
  </si>
  <si>
    <t>litý mramor</t>
  </si>
  <si>
    <t>https://sprchygelco.cz/umyvadlo-klara-70</t>
  </si>
  <si>
    <t>Nábytková zavěšená skříňka</t>
  </si>
  <si>
    <t>Atypová samostatně zavěšená skříńka se vhozem na odpad a odpadkovým košem, 700x450mm, výška 510mm</t>
  </si>
  <si>
    <t>TRUHLÁŘSKÁ VÝROBA</t>
  </si>
  <si>
    <t>matný lak, RAL 9010</t>
  </si>
  <si>
    <t>Stojánková baterie</t>
  </si>
  <si>
    <t>senzorová bezdotyková</t>
  </si>
  <si>
    <t>36325001</t>
  </si>
  <si>
    <t>Grohe</t>
  </si>
  <si>
    <t>Eurosmart Cosmopolitan E</t>
  </si>
  <si>
    <t>chrom</t>
  </si>
  <si>
    <t>https://www.onlinekoupelny.cz/vodovodni-baterie/umyvadlove-baterie/grohe-eurosmart-cosmopolitan-e-elektronicka-umyvadlova-baterie-chrom-36325001</t>
  </si>
  <si>
    <t>Odtoková souprava</t>
  </si>
  <si>
    <t>neuzavíratelná</t>
  </si>
  <si>
    <t>Hansgrohe</t>
  </si>
  <si>
    <t xml:space="preserve">Odtoková souprava </t>
  </si>
  <si>
    <t>https://www.onlinekoupelny.cz/hansgrohe-odtokove-soupravy-odtokova-souprava-pro-umyvadlo-neuzaviratelna-chrom-50001000</t>
  </si>
  <si>
    <t>Roháčky</t>
  </si>
  <si>
    <t>Schell</t>
  </si>
  <si>
    <t>Pint</t>
  </si>
  <si>
    <t>https://www.onlinekoupelny.cz/schell-pint-rohovy-regulacni-ventil-chrom-053900699</t>
  </si>
  <si>
    <t>Odpad</t>
  </si>
  <si>
    <t>prostorově úsporný</t>
  </si>
  <si>
    <t xml:space="preserve">CV1003 </t>
  </si>
  <si>
    <t>Sapho</t>
  </si>
  <si>
    <t>Omp Tea Quasar</t>
  </si>
  <si>
    <t>https://www.onlinekoupelny.cz/sapho-omp-tea-quasar-umyvadlovy-sifon-setrici-misto-1-1-4-odpad-32-mm-chrom-811-215-5-k</t>
  </si>
  <si>
    <t>V7</t>
  </si>
  <si>
    <t>Závěsný klozet</t>
  </si>
  <si>
    <t>ZÁVĚSNÝ KLOZET S UZAVŘENÝM OPLACHOVÝM KRUHEM</t>
  </si>
  <si>
    <t>povrch perla</t>
  </si>
  <si>
    <t>MIO 820712</t>
  </si>
  <si>
    <t>Jika</t>
  </si>
  <si>
    <t>Mio</t>
  </si>
  <si>
    <t xml:space="preserve">H8207121000001 Bílá-JIKAperla </t>
  </si>
  <si>
    <t>https://www.koupelny-cz.cz/mio-n-zavesny-klozet-s-uzavrenym-oplachovym-kruhem-hluboke-splachovani-4-5-3l-vcetne-instalacni-sady-easyfit-select/d78445</t>
  </si>
  <si>
    <t>WC sedátko</t>
  </si>
  <si>
    <t>KOORDINOVAT S VYBRANÝM KLOZETEM A OSAZENÝMI PRVKY V REVITALIZOVANÝCH TOALETÁCH</t>
  </si>
  <si>
    <t>MIO 891711</t>
  </si>
  <si>
    <t>http://www.jika.cz/katalog/serie/koupelnove-kolekce/mio/duroplastove-sedatko-s-poklopem-nerez-uchyty-sandwich-uchyceni-shora-otvory-v-keramice-quick-system-odnimatelne-slowclose-891711</t>
  </si>
  <si>
    <t>V8</t>
  </si>
  <si>
    <t>Modul pro závěsný klozet</t>
  </si>
  <si>
    <t>modul pro zděné systémy</t>
  </si>
  <si>
    <t>110.302.00.5</t>
  </si>
  <si>
    <t>Geberit</t>
  </si>
  <si>
    <t>Kombifix</t>
  </si>
  <si>
    <t>https://www.koupelny-sen.cz/geberit-kombifix-eco-110-302-00-1</t>
  </si>
  <si>
    <t>Ovládací tlačítko</t>
  </si>
  <si>
    <t xml:space="preserve">115.883.KJ.1 </t>
  </si>
  <si>
    <t>Sigma 30</t>
  </si>
  <si>
    <t>https://www.onlinekoupelny.cz/geberit-sigma30-ovladaci-tlacitko-sigma30-bila-pochromovana-leskla-bila-115-883-kj-1</t>
  </si>
  <si>
    <t>215</t>
  </si>
  <si>
    <t>V14</t>
  </si>
  <si>
    <t>Modul pro vtok do stěny</t>
  </si>
  <si>
    <t xml:space="preserve">457.534.00.1 </t>
  </si>
  <si>
    <t>https://www.onlinekoupelny.cz/geberit-kombifix-kombifix-pro-sprchu-457-534-00-1</t>
  </si>
  <si>
    <t>V17</t>
  </si>
  <si>
    <t>Sprchová sestava</t>
  </si>
  <si>
    <t>Podomítkové těleso</t>
  </si>
  <si>
    <t>01800180</t>
  </si>
  <si>
    <t>iBox universal</t>
  </si>
  <si>
    <t>http://www.hansgrohe.cz/articledetail.html?article=01800180#l=product-supplies-needed</t>
  </si>
  <si>
    <t>Podomítková sprchová baterie</t>
  </si>
  <si>
    <t>PuraVida</t>
  </si>
  <si>
    <t>http://www.hansgrohe.cz/articledetail.html?article=15665000&amp;pageid=c2d012ca-3f18-4b39-b162-1840b397983a&amp;fsid=0x00006CC100007691&amp;q=</t>
  </si>
  <si>
    <t>Podomítková vanová baterie</t>
  </si>
  <si>
    <t>s přepínačem na ruční sprchu</t>
  </si>
  <si>
    <t>http://www.hansgrohe.cz/articledetail-puravida-pakova-vanova-baterie-pod-omitku-15445000.html?fsid=0x00006CC100007621&amp;pageid=c2d012ca-3f18-4b39-b162-1840b397983a&amp;q=#l=product-variant</t>
  </si>
  <si>
    <t>Hlavová sprcha</t>
  </si>
  <si>
    <t>26468000</t>
  </si>
  <si>
    <t>Raindance Select E 300 3jet</t>
  </si>
  <si>
    <t>http://www.hansgrohe.cz/articledetail-raindance-select-e-horni-sprcha-300-3jet-se-sprchovym-ramenem-26468000.html?fsid=0x0000729100007711&amp;pageid=c2d012ca-3f18-4b39-b162-1840b397983a&amp;q=</t>
  </si>
  <si>
    <t>V18</t>
  </si>
  <si>
    <t>Sprchová sestava – doplněk</t>
  </si>
  <si>
    <t>Ruční sprcha s tyčí</t>
  </si>
  <si>
    <t>26621000</t>
  </si>
  <si>
    <t>Raindance Select E 120 3jet</t>
  </si>
  <si>
    <t>http://www.hansgrohe.cz/articledetail-raindance-select-e-sprchova-sada-120-3jet-se-sprchovou-tyci-90-cm-a-miskou-na-mydlo-26621000.html?fsid=0x0000729100007711&amp;pageid=c2d012ca-3f18-4b39-b162-1840b397983a&amp;q=</t>
  </si>
  <si>
    <t>Výtokové kolénko</t>
  </si>
  <si>
    <t>nutná koordinace s ruční sprchou</t>
  </si>
  <si>
    <t>27414000</t>
  </si>
  <si>
    <t>FixFit</t>
  </si>
  <si>
    <t>http://www.hansgrohe.cz/articledetail.html?article=27414000&amp;fsid=0x0019C1E100007591#l=product-recommendation-similar</t>
  </si>
  <si>
    <t>V19</t>
  </si>
  <si>
    <t>Sprchová nástěnná baterie</t>
  </si>
  <si>
    <t xml:space="preserve"> 99060/1,0</t>
  </si>
  <si>
    <t>Novaservis</t>
  </si>
  <si>
    <t>https://www.novaservis.cz/sprchova-baterie-bez-prislusenstvi-150-mm-retro-i-chrom/</t>
  </si>
  <si>
    <t>Nerezová revizní dvířka</t>
  </si>
  <si>
    <t>300x300mm</t>
  </si>
  <si>
    <t>217</t>
  </si>
  <si>
    <t>Sauna- odpočívárna</t>
  </si>
  <si>
    <t>M4</t>
  </si>
  <si>
    <t>TV</t>
  </si>
  <si>
    <t>TV k zavěšení, propojení na audio ve stropě, max. Šířka 885mm</t>
  </si>
  <si>
    <t>TV 32´´</t>
  </si>
  <si>
    <t>Držák TV</t>
  </si>
  <si>
    <t>Zavěšení na konstrukci podhledu</t>
  </si>
  <si>
    <t>Držák pro TV 32´´</t>
  </si>
  <si>
    <t>M12</t>
  </si>
  <si>
    <t>Nápojová lednice</t>
  </si>
  <si>
    <t>Prosklené dveře se zamykáním, tmavý lak, 5 polic, ofuk dveří proti zamlžování</t>
  </si>
  <si>
    <t>V5</t>
  </si>
  <si>
    <t>Zavěšená police</t>
  </si>
  <si>
    <t>ocelová, skryté kotevní konstrukce, opláštění dřevem shodným s opláštěním stěn</t>
  </si>
  <si>
    <t>V11</t>
  </si>
  <si>
    <t>délka 650mm</t>
  </si>
  <si>
    <t>APZ11-650L Antivandal</t>
  </si>
  <si>
    <t>V15</t>
  </si>
  <si>
    <t>Kovová větrací mříž</t>
  </si>
  <si>
    <t>šířka dle niky na lednici, výška dle rozměru lednice, barva shodná s lednicí</t>
  </si>
  <si>
    <t>ZÁMEČNICKÁ VÝROBA</t>
  </si>
  <si>
    <t>219</t>
  </si>
  <si>
    <t>Sauna- šatny</t>
  </si>
  <si>
    <t>220</t>
  </si>
  <si>
    <t>Chodba</t>
  </si>
  <si>
    <t>M3</t>
  </si>
  <si>
    <t>400x1125mm</t>
  </si>
  <si>
    <t>zabroušení hran, zavěšeno na dřevěný obklad</t>
  </si>
  <si>
    <t>V2</t>
  </si>
  <si>
    <t>Dřevěná zavěšená lavice</t>
  </si>
  <si>
    <t>400x1110mm, ocelová, skryté kotevní konstrukce, opláštění dřevem shodným s opláštěním stěn</t>
  </si>
  <si>
    <t>V3</t>
  </si>
  <si>
    <t>400x2265mm, ocelová, skryté kotevní konstrukce, opláštění dřevem shodným s opláštěním stěn</t>
  </si>
  <si>
    <t>V9</t>
  </si>
  <si>
    <t>Turniket</t>
  </si>
  <si>
    <t>kotvení na stěnu, anti-panic systém, obousměrný průchod, čtečky karet, dálkový ovladač pro recepci</t>
  </si>
  <si>
    <t>V10</t>
  </si>
  <si>
    <t>Vysoušeč vlasů hadicový</t>
  </si>
  <si>
    <t>bílý, provedení antivandal</t>
  </si>
  <si>
    <t>Fumagalli</t>
  </si>
  <si>
    <t>Magnum 88HT</t>
  </si>
  <si>
    <t>222</t>
  </si>
  <si>
    <t>Sauna recepce</t>
  </si>
  <si>
    <t>M1</t>
  </si>
  <si>
    <t>Prodejní sestava</t>
  </si>
  <si>
    <t>M2</t>
  </si>
  <si>
    <t>Kancelářská židle</t>
  </si>
  <si>
    <t>černý sedák, síťovaný opěrák</t>
  </si>
  <si>
    <t>V1</t>
  </si>
  <si>
    <t>Recepční pult</t>
  </si>
  <si>
    <t>DTD deska</t>
  </si>
  <si>
    <t>V4</t>
  </si>
  <si>
    <t>Nábytková skříňka se dřezem, police</t>
  </si>
  <si>
    <t>V16</t>
  </si>
  <si>
    <t>Vhazovací okénko na špinavá prostěradla</t>
  </si>
  <si>
    <t>CELKEM NÁKLADY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</si>
</sst>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&quot; Kč&quot;"/>
    <numFmt numFmtId="167" formatCode="#,##0.00&quot; € &quot;;\-#,##0.00&quot; € &quot;;&quot; -&quot;#&quot; € &quot;;@\ "/>
  </numFmts>
  <fonts count="6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167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8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1" fillId="34" borderId="26" xfId="0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3" fillId="0" borderId="26" xfId="0" applyNumberFormat="1" applyFont="1" applyFill="1" applyBorder="1" applyAlignment="1" applyProtection="1">
      <alignment horizontal="right" vertical="center"/>
      <protection/>
    </xf>
    <xf numFmtId="49" fontId="13" fillId="0" borderId="26" xfId="0" applyNumberFormat="1" applyFont="1" applyFill="1" applyBorder="1" applyAlignment="1" applyProtection="1">
      <alignment horizontal="right" vertical="center"/>
      <protection/>
    </xf>
    <xf numFmtId="4" fontId="12" fillId="34" borderId="31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" fontId="13" fillId="0" borderId="27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4" fontId="13" fillId="0" borderId="14" xfId="0" applyNumberFormat="1" applyFont="1" applyFill="1" applyBorder="1" applyAlignment="1" applyProtection="1">
      <alignment horizontal="right" vertical="center"/>
      <protection/>
    </xf>
    <xf numFmtId="4" fontId="5" fillId="4" borderId="0" xfId="0" applyNumberFormat="1" applyFont="1" applyFill="1" applyBorder="1" applyAlignment="1" applyProtection="1">
      <alignment horizontal="right" vertical="center"/>
      <protection/>
    </xf>
    <xf numFmtId="4" fontId="13" fillId="4" borderId="26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0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1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1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1" xfId="0" applyNumberFormat="1" applyFont="1" applyFill="1" applyBorder="1" applyAlignment="1" applyProtection="1">
      <alignment horizontal="left" vertical="center"/>
      <protection/>
    </xf>
    <xf numFmtId="49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34" borderId="37" xfId="0" applyNumberFormat="1" applyFont="1" applyFill="1" applyBorder="1" applyAlignment="1" applyProtection="1">
      <alignment horizontal="left" vertical="center"/>
      <protection/>
    </xf>
    <xf numFmtId="0" fontId="12" fillId="34" borderId="36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vertical="center"/>
    </xf>
    <xf numFmtId="49" fontId="13" fillId="0" borderId="41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2" fillId="0" borderId="0" xfId="0" applyNumberFormat="1" applyFont="1" applyAlignment="1">
      <alignment horizontal="center"/>
    </xf>
    <xf numFmtId="49" fontId="33" fillId="35" borderId="0" xfId="0" applyNumberFormat="1" applyFont="1" applyFill="1" applyBorder="1" applyAlignment="1">
      <alignment horizontal="left" wrapText="1"/>
    </xf>
    <xf numFmtId="49" fontId="34" fillId="35" borderId="0" xfId="0" applyNumberFormat="1" applyFont="1" applyFill="1" applyAlignment="1">
      <alignment horizontal="left"/>
    </xf>
    <xf numFmtId="0" fontId="32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166" fontId="35" fillId="35" borderId="0" xfId="36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32" fillId="0" borderId="0" xfId="0" applyNumberFormat="1" applyFont="1" applyFill="1" applyAlignment="1">
      <alignment horizontal="center"/>
    </xf>
    <xf numFmtId="49" fontId="33" fillId="0" borderId="0" xfId="0" applyNumberFormat="1" applyFont="1" applyFill="1" applyAlignment="1">
      <alignment horizontal="left" wrapText="1"/>
    </xf>
    <xf numFmtId="49" fontId="32" fillId="0" borderId="0" xfId="0" applyNumberFormat="1" applyFont="1" applyFill="1" applyAlignment="1">
      <alignment horizontal="left" wrapText="1"/>
    </xf>
    <xf numFmtId="49" fontId="36" fillId="0" borderId="0" xfId="0" applyNumberFormat="1" applyFont="1" applyFill="1" applyAlignment="1">
      <alignment horizontal="left" wrapText="1"/>
    </xf>
    <xf numFmtId="49" fontId="33" fillId="0" borderId="0" xfId="0" applyNumberFormat="1" applyFont="1" applyFill="1" applyAlignment="1">
      <alignment horizontal="left"/>
    </xf>
    <xf numFmtId="49" fontId="33" fillId="0" borderId="0" xfId="0" applyNumberFormat="1" applyFont="1" applyFill="1" applyAlignment="1">
      <alignment horizontal="left"/>
    </xf>
    <xf numFmtId="49" fontId="34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66" fontId="35" fillId="0" borderId="0" xfId="36" applyNumberFormat="1" applyFont="1" applyFill="1" applyBorder="1" applyAlignment="1" applyProtection="1">
      <alignment wrapText="1"/>
      <protection/>
    </xf>
    <xf numFmtId="49" fontId="37" fillId="36" borderId="0" xfId="0" applyNumberFormat="1" applyFont="1" applyFill="1" applyAlignment="1">
      <alignment horizontal="center"/>
    </xf>
    <xf numFmtId="49" fontId="37" fillId="36" borderId="0" xfId="0" applyNumberFormat="1" applyFont="1" applyFill="1" applyAlignment="1">
      <alignment horizontal="left"/>
    </xf>
    <xf numFmtId="49" fontId="32" fillId="36" borderId="0" xfId="0" applyNumberFormat="1" applyFont="1" applyFill="1" applyAlignment="1">
      <alignment horizontal="left" wrapText="1"/>
    </xf>
    <xf numFmtId="49" fontId="37" fillId="36" borderId="0" xfId="0" applyNumberFormat="1" applyFont="1" applyFill="1" applyAlignment="1">
      <alignment horizontal="left" wrapText="1"/>
    </xf>
    <xf numFmtId="49" fontId="38" fillId="36" borderId="0" xfId="0" applyNumberFormat="1" applyFont="1" applyFill="1" applyAlignment="1">
      <alignment horizontal="left"/>
    </xf>
    <xf numFmtId="49" fontId="38" fillId="36" borderId="0" xfId="0" applyNumberFormat="1" applyFont="1" applyFill="1" applyAlignment="1">
      <alignment horizontal="left"/>
    </xf>
    <xf numFmtId="49" fontId="38" fillId="36" borderId="0" xfId="0" applyNumberFormat="1" applyFont="1" applyFill="1" applyAlignment="1">
      <alignment horizontal="left" wrapText="1"/>
    </xf>
    <xf numFmtId="49" fontId="39" fillId="36" borderId="0" xfId="0" applyNumberFormat="1" applyFont="1" applyFill="1" applyAlignment="1">
      <alignment horizontal="left"/>
    </xf>
    <xf numFmtId="0" fontId="37" fillId="36" borderId="0" xfId="0" applyFont="1" applyFill="1" applyAlignment="1">
      <alignment/>
    </xf>
    <xf numFmtId="166" fontId="40" fillId="36" borderId="0" xfId="0" applyNumberFormat="1" applyFont="1" applyFill="1" applyAlignment="1">
      <alignment/>
    </xf>
    <xf numFmtId="166" fontId="37" fillId="36" borderId="0" xfId="36" applyNumberFormat="1" applyFont="1" applyFill="1" applyBorder="1" applyAlignment="1" applyProtection="1">
      <alignment wrapText="1"/>
      <protection/>
    </xf>
    <xf numFmtId="0" fontId="40" fillId="36" borderId="0" xfId="0" applyFont="1" applyFill="1" applyAlignment="1">
      <alignment/>
    </xf>
    <xf numFmtId="49" fontId="37" fillId="0" borderId="0" xfId="0" applyNumberFormat="1" applyFont="1" applyFill="1" applyAlignment="1">
      <alignment horizontal="center"/>
    </xf>
    <xf numFmtId="49" fontId="37" fillId="0" borderId="0" xfId="0" applyNumberFormat="1" applyFont="1" applyFill="1" applyAlignment="1">
      <alignment horizontal="left" wrapText="1"/>
    </xf>
    <xf numFmtId="49" fontId="38" fillId="0" borderId="0" xfId="0" applyNumberFormat="1" applyFont="1" applyFill="1" applyAlignment="1">
      <alignment horizontal="left"/>
    </xf>
    <xf numFmtId="49" fontId="38" fillId="0" borderId="0" xfId="0" applyNumberFormat="1" applyFont="1" applyFill="1" applyAlignment="1">
      <alignment horizontal="left"/>
    </xf>
    <xf numFmtId="49" fontId="38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Alignment="1">
      <alignment horizontal="left"/>
    </xf>
    <xf numFmtId="0" fontId="37" fillId="0" borderId="0" xfId="0" applyFont="1" applyFill="1" applyAlignment="1">
      <alignment/>
    </xf>
    <xf numFmtId="166" fontId="40" fillId="0" borderId="0" xfId="0" applyNumberFormat="1" applyFont="1" applyFill="1" applyAlignment="1">
      <alignment/>
    </xf>
    <xf numFmtId="166" fontId="37" fillId="0" borderId="0" xfId="36" applyNumberFormat="1" applyFont="1" applyFill="1" applyBorder="1" applyAlignment="1" applyProtection="1">
      <alignment wrapText="1"/>
      <protection/>
    </xf>
    <xf numFmtId="0" fontId="40" fillId="0" borderId="0" xfId="0" applyFont="1" applyFill="1" applyAlignment="1">
      <alignment/>
    </xf>
    <xf numFmtId="49" fontId="32" fillId="37" borderId="49" xfId="0" applyNumberFormat="1" applyFont="1" applyFill="1" applyBorder="1" applyAlignment="1">
      <alignment horizontal="center" wrapText="1"/>
    </xf>
    <xf numFmtId="49" fontId="41" fillId="37" borderId="50" xfId="0" applyNumberFormat="1" applyFont="1" applyFill="1" applyBorder="1" applyAlignment="1">
      <alignment wrapText="1"/>
    </xf>
    <xf numFmtId="49" fontId="32" fillId="37" borderId="49" xfId="0" applyNumberFormat="1" applyFont="1" applyFill="1" applyBorder="1" applyAlignment="1">
      <alignment horizontal="left" wrapText="1"/>
    </xf>
    <xf numFmtId="49" fontId="41" fillId="37" borderId="49" xfId="0" applyNumberFormat="1" applyFont="1" applyFill="1" applyBorder="1" applyAlignment="1">
      <alignment wrapText="1"/>
    </xf>
    <xf numFmtId="49" fontId="41" fillId="37" borderId="49" xfId="0" applyNumberFormat="1" applyFont="1" applyFill="1" applyBorder="1" applyAlignment="1">
      <alignment/>
    </xf>
    <xf numFmtId="0" fontId="41" fillId="37" borderId="49" xfId="0" applyFont="1" applyFill="1" applyBorder="1" applyAlignment="1">
      <alignment wrapText="1"/>
    </xf>
    <xf numFmtId="0" fontId="42" fillId="37" borderId="49" xfId="0" applyFont="1" applyFill="1" applyBorder="1" applyAlignment="1">
      <alignment wrapText="1"/>
    </xf>
    <xf numFmtId="0" fontId="41" fillId="37" borderId="51" xfId="0" applyFont="1" applyFill="1" applyBorder="1" applyAlignment="1">
      <alignment/>
    </xf>
    <xf numFmtId="166" fontId="41" fillId="37" borderId="49" xfId="0" applyNumberFormat="1" applyFont="1" applyFill="1" applyBorder="1" applyAlignment="1">
      <alignment/>
    </xf>
    <xf numFmtId="166" fontId="41" fillId="37" borderId="49" xfId="0" applyNumberFormat="1" applyFont="1" applyFill="1" applyBorder="1" applyAlignment="1">
      <alignment horizontal="center" wrapText="1"/>
    </xf>
    <xf numFmtId="0" fontId="42" fillId="37" borderId="49" xfId="0" applyFont="1" applyFill="1" applyBorder="1" applyAlignment="1">
      <alignment/>
    </xf>
    <xf numFmtId="49" fontId="41" fillId="38" borderId="49" xfId="0" applyNumberFormat="1" applyFont="1" applyFill="1" applyBorder="1" applyAlignment="1">
      <alignment horizontal="center"/>
    </xf>
    <xf numFmtId="49" fontId="41" fillId="38" borderId="50" xfId="0" applyNumberFormat="1" applyFont="1" applyFill="1" applyBorder="1" applyAlignment="1">
      <alignment wrapText="1"/>
    </xf>
    <xf numFmtId="49" fontId="32" fillId="38" borderId="49" xfId="0" applyNumberFormat="1" applyFont="1" applyFill="1" applyBorder="1" applyAlignment="1">
      <alignment wrapText="1"/>
    </xf>
    <xf numFmtId="49" fontId="41" fillId="38" borderId="49" xfId="0" applyNumberFormat="1" applyFont="1" applyFill="1" applyBorder="1" applyAlignment="1">
      <alignment wrapText="1"/>
    </xf>
    <xf numFmtId="49" fontId="41" fillId="38" borderId="49" xfId="0" applyNumberFormat="1" applyFont="1" applyFill="1" applyBorder="1" applyAlignment="1">
      <alignment/>
    </xf>
    <xf numFmtId="0" fontId="41" fillId="38" borderId="49" xfId="0" applyFont="1" applyFill="1" applyBorder="1" applyAlignment="1">
      <alignment wrapText="1"/>
    </xf>
    <xf numFmtId="0" fontId="42" fillId="38" borderId="49" xfId="0" applyFont="1" applyFill="1" applyBorder="1" applyAlignment="1">
      <alignment wrapText="1"/>
    </xf>
    <xf numFmtId="0" fontId="41" fillId="38" borderId="51" xfId="0" applyFont="1" applyFill="1" applyBorder="1" applyAlignment="1">
      <alignment/>
    </xf>
    <xf numFmtId="166" fontId="41" fillId="38" borderId="49" xfId="0" applyNumberFormat="1" applyFont="1" applyFill="1" applyBorder="1" applyAlignment="1">
      <alignment/>
    </xf>
    <xf numFmtId="166" fontId="41" fillId="38" borderId="49" xfId="0" applyNumberFormat="1" applyFont="1" applyFill="1" applyBorder="1" applyAlignment="1">
      <alignment horizontal="center" wrapText="1"/>
    </xf>
    <xf numFmtId="0" fontId="42" fillId="38" borderId="49" xfId="0" applyFont="1" applyFill="1" applyBorder="1" applyAlignment="1">
      <alignment/>
    </xf>
    <xf numFmtId="49" fontId="32" fillId="39" borderId="0" xfId="0" applyNumberFormat="1" applyFont="1" applyFill="1" applyAlignment="1">
      <alignment horizontal="center"/>
    </xf>
    <xf numFmtId="49" fontId="32" fillId="39" borderId="52" xfId="0" applyNumberFormat="1" applyFont="1" applyFill="1" applyBorder="1" applyAlignment="1">
      <alignment wrapText="1"/>
    </xf>
    <xf numFmtId="49" fontId="32" fillId="39" borderId="0" xfId="0" applyNumberFormat="1" applyFont="1" applyFill="1" applyBorder="1" applyAlignment="1">
      <alignment wrapText="1"/>
    </xf>
    <xf numFmtId="49" fontId="32" fillId="39" borderId="0" xfId="0" applyNumberFormat="1" applyFont="1" applyFill="1" applyBorder="1" applyAlignment="1">
      <alignment wrapText="1"/>
    </xf>
    <xf numFmtId="49" fontId="32" fillId="39" borderId="0" xfId="0" applyNumberFormat="1" applyFont="1" applyFill="1" applyBorder="1" applyAlignment="1">
      <alignment/>
    </xf>
    <xf numFmtId="0" fontId="32" fillId="39" borderId="0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0" fontId="32" fillId="39" borderId="53" xfId="0" applyFont="1" applyFill="1" applyBorder="1" applyAlignment="1">
      <alignment/>
    </xf>
    <xf numFmtId="166" fontId="32" fillId="39" borderId="0" xfId="0" applyNumberFormat="1" applyFont="1" applyFill="1" applyBorder="1" applyAlignment="1">
      <alignment horizontal="center" wrapText="1"/>
    </xf>
    <xf numFmtId="0" fontId="0" fillId="39" borderId="0" xfId="0" applyFill="1" applyAlignment="1">
      <alignment/>
    </xf>
    <xf numFmtId="49" fontId="32" fillId="0" borderId="52" xfId="0" applyNumberFormat="1" applyFont="1" applyFill="1" applyBorder="1" applyAlignment="1">
      <alignment horizontal="left" wrapText="1"/>
    </xf>
    <xf numFmtId="49" fontId="43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/>
    </xf>
    <xf numFmtId="49" fontId="32" fillId="0" borderId="0" xfId="0" applyNumberFormat="1" applyFont="1" applyFill="1" applyAlignment="1">
      <alignment horizontal="left"/>
    </xf>
    <xf numFmtId="49" fontId="32" fillId="0" borderId="0" xfId="0" applyNumberFormat="1" applyFont="1" applyFill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32" fillId="0" borderId="53" xfId="0" applyFont="1" applyFill="1" applyBorder="1" applyAlignment="1">
      <alignment/>
    </xf>
    <xf numFmtId="166" fontId="0" fillId="0" borderId="0" xfId="36" applyNumberFormat="1" applyFont="1" applyFill="1" applyBorder="1" applyAlignment="1" applyProtection="1">
      <alignment horizontal="right" wrapText="1"/>
      <protection/>
    </xf>
    <xf numFmtId="0" fontId="44" fillId="0" borderId="0" xfId="37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3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6" fontId="0" fillId="4" borderId="0" xfId="0" applyNumberFormat="1" applyFont="1" applyFill="1" applyAlignment="1">
      <alignment wrapText="1"/>
    </xf>
    <xf numFmtId="166" fontId="0" fillId="4" borderId="0" xfId="36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Alignment="1">
      <alignment wrapText="1"/>
    </xf>
    <xf numFmtId="0" fontId="32" fillId="40" borderId="53" xfId="0" applyFont="1" applyFill="1" applyBorder="1" applyAlignment="1">
      <alignment/>
    </xf>
    <xf numFmtId="166" fontId="0" fillId="0" borderId="0" xfId="0" applyNumberFormat="1" applyFont="1" applyFill="1" applyAlignment="1">
      <alignment wrapText="1"/>
    </xf>
    <xf numFmtId="49" fontId="47" fillId="0" borderId="0" xfId="0" applyNumberFormat="1" applyFont="1" applyFill="1" applyAlignment="1">
      <alignment horizontal="left" wrapText="1"/>
    </xf>
    <xf numFmtId="49" fontId="35" fillId="0" borderId="52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0" fontId="0" fillId="0" borderId="53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49" fontId="32" fillId="0" borderId="0" xfId="0" applyNumberFormat="1" applyFont="1" applyFill="1" applyAlignment="1">
      <alignment horizontal="right"/>
    </xf>
    <xf numFmtId="166" fontId="0" fillId="4" borderId="0" xfId="0" applyNumberFormat="1" applyFont="1" applyFill="1" applyAlignment="1">
      <alignment/>
    </xf>
    <xf numFmtId="166" fontId="1" fillId="0" borderId="0" xfId="36" applyNumberFormat="1" applyFont="1" applyFill="1" applyBorder="1" applyAlignment="1" applyProtection="1">
      <alignment horizontal="right" wrapText="1"/>
      <protection/>
    </xf>
    <xf numFmtId="49" fontId="47" fillId="0" borderId="52" xfId="0" applyNumberFormat="1" applyFont="1" applyFill="1" applyBorder="1" applyAlignment="1">
      <alignment horizontal="left" wrapText="1"/>
    </xf>
    <xf numFmtId="49" fontId="32" fillId="0" borderId="49" xfId="0" applyNumberFormat="1" applyFont="1" applyFill="1" applyBorder="1" applyAlignment="1">
      <alignment horizontal="center"/>
    </xf>
    <xf numFmtId="49" fontId="32" fillId="0" borderId="50" xfId="0" applyNumberFormat="1" applyFont="1" applyFill="1" applyBorder="1" applyAlignment="1">
      <alignment horizontal="left" wrapText="1"/>
    </xf>
    <xf numFmtId="49" fontId="32" fillId="0" borderId="49" xfId="0" applyNumberFormat="1" applyFont="1" applyFill="1" applyBorder="1" applyAlignment="1">
      <alignment horizontal="left" wrapText="1"/>
    </xf>
    <xf numFmtId="49" fontId="32" fillId="0" borderId="49" xfId="0" applyNumberFormat="1" applyFont="1" applyFill="1" applyBorder="1" applyAlignment="1">
      <alignment horizontal="left" wrapText="1"/>
    </xf>
    <xf numFmtId="49" fontId="32" fillId="0" borderId="49" xfId="0" applyNumberFormat="1" applyFont="1" applyFill="1" applyBorder="1" applyAlignment="1">
      <alignment horizontal="left"/>
    </xf>
    <xf numFmtId="49" fontId="32" fillId="0" borderId="49" xfId="0" applyNumberFormat="1" applyFont="1" applyFill="1" applyBorder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0" fontId="32" fillId="0" borderId="51" xfId="0" applyFont="1" applyFill="1" applyBorder="1" applyAlignment="1">
      <alignment/>
    </xf>
    <xf numFmtId="166" fontId="0" fillId="0" borderId="49" xfId="36" applyNumberFormat="1" applyFont="1" applyFill="1" applyBorder="1" applyAlignment="1" applyProtection="1">
      <alignment horizontal="right" wrapText="1"/>
      <protection/>
    </xf>
    <xf numFmtId="0" fontId="0" fillId="0" borderId="49" xfId="0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 wrapText="1"/>
    </xf>
    <xf numFmtId="49" fontId="3" fillId="0" borderId="52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wrapText="1"/>
    </xf>
    <xf numFmtId="49" fontId="3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3" fillId="0" borderId="53" xfId="0" applyFont="1" applyFill="1" applyBorder="1" applyAlignment="1">
      <alignment/>
    </xf>
    <xf numFmtId="166" fontId="1" fillId="4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32" fillId="0" borderId="52" xfId="0" applyNumberFormat="1" applyFont="1" applyFill="1" applyBorder="1" applyAlignment="1">
      <alignment wrapText="1"/>
    </xf>
    <xf numFmtId="0" fontId="32" fillId="0" borderId="53" xfId="0" applyFont="1" applyFill="1" applyBorder="1" applyAlignment="1">
      <alignment wrapText="1"/>
    </xf>
    <xf numFmtId="0" fontId="45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wrapText="1"/>
    </xf>
    <xf numFmtId="0" fontId="46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49" fontId="47" fillId="0" borderId="0" xfId="0" applyNumberFormat="1" applyFont="1" applyFill="1" applyAlignment="1">
      <alignment horizontal="left" wrapText="1"/>
    </xf>
    <xf numFmtId="49" fontId="35" fillId="0" borderId="52" xfId="0" applyNumberFormat="1" applyFont="1" applyFill="1" applyBorder="1" applyAlignment="1">
      <alignment horizontal="left" wrapText="1"/>
    </xf>
    <xf numFmtId="0" fontId="35" fillId="0" borderId="0" xfId="0" applyFont="1" applyAlignment="1">
      <alignment/>
    </xf>
    <xf numFmtId="0" fontId="47" fillId="0" borderId="0" xfId="0" applyFont="1" applyAlignment="1">
      <alignment/>
    </xf>
    <xf numFmtId="49" fontId="32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2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49" fontId="32" fillId="41" borderId="0" xfId="0" applyNumberFormat="1" applyFont="1" applyFill="1" applyAlignment="1">
      <alignment horizontal="center"/>
    </xf>
    <xf numFmtId="49" fontId="32" fillId="41" borderId="0" xfId="0" applyNumberFormat="1" applyFont="1" applyFill="1" applyAlignment="1">
      <alignment wrapText="1"/>
    </xf>
    <xf numFmtId="49" fontId="0" fillId="41" borderId="0" xfId="0" applyNumberFormat="1" applyFont="1" applyFill="1" applyAlignment="1">
      <alignment wrapText="1"/>
    </xf>
    <xf numFmtId="49" fontId="0" fillId="41" borderId="0" xfId="0" applyNumberFormat="1" applyFont="1" applyFill="1" applyAlignment="1">
      <alignment wrapText="1"/>
    </xf>
    <xf numFmtId="49" fontId="0" fillId="41" borderId="0" xfId="0" applyNumberFormat="1" applyFont="1" applyFill="1" applyAlignment="1">
      <alignment/>
    </xf>
    <xf numFmtId="0" fontId="32" fillId="41" borderId="0" xfId="0" applyFont="1" applyFill="1" applyAlignment="1">
      <alignment wrapText="1"/>
    </xf>
    <xf numFmtId="49" fontId="35" fillId="41" borderId="0" xfId="0" applyNumberFormat="1" applyFont="1" applyFill="1" applyAlignment="1">
      <alignment horizontal="right"/>
    </xf>
    <xf numFmtId="0" fontId="32" fillId="41" borderId="0" xfId="0" applyFont="1" applyFill="1" applyAlignment="1">
      <alignment/>
    </xf>
    <xf numFmtId="166" fontId="0" fillId="41" borderId="0" xfId="0" applyNumberFormat="1" applyFill="1" applyAlignment="1">
      <alignment/>
    </xf>
    <xf numFmtId="166" fontId="35" fillId="41" borderId="0" xfId="0" applyNumberFormat="1" applyFont="1" applyFill="1" applyAlignment="1">
      <alignment wrapText="1"/>
    </xf>
    <xf numFmtId="166" fontId="0" fillId="41" borderId="0" xfId="0" applyNumberFormat="1" applyFill="1" applyAlignment="1">
      <alignment wrapText="1"/>
    </xf>
    <xf numFmtId="0" fontId="0" fillId="41" borderId="0" xfId="0" applyFill="1" applyAlignment="1">
      <alignment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Euro" xfId="36"/>
    <cellStyle name="Hyperlink" xfId="37"/>
    <cellStyle name="Chybně" xfId="38"/>
    <cellStyle name="Kontrolní buňka" xfId="39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37.5" customHeight="1">
      <c r="A1" s="102" t="s">
        <v>537</v>
      </c>
      <c r="B1" s="103"/>
      <c r="C1" s="103"/>
      <c r="D1" s="103"/>
      <c r="E1" s="103"/>
      <c r="F1" s="103"/>
      <c r="G1" s="103"/>
      <c r="H1" s="103"/>
      <c r="I1" s="103"/>
    </row>
    <row r="2" spans="1:10" ht="12.75">
      <c r="A2" s="62" t="s">
        <v>1</v>
      </c>
      <c r="B2" s="63"/>
      <c r="C2" s="66" t="s">
        <v>225</v>
      </c>
      <c r="D2" s="67"/>
      <c r="E2" s="69" t="s">
        <v>460</v>
      </c>
      <c r="F2" s="69" t="s">
        <v>465</v>
      </c>
      <c r="G2" s="63"/>
      <c r="H2" s="69" t="s">
        <v>555</v>
      </c>
      <c r="I2" s="70"/>
      <c r="J2" s="33"/>
    </row>
    <row r="3" spans="1:10" ht="12.75">
      <c r="A3" s="64"/>
      <c r="B3" s="65"/>
      <c r="C3" s="68"/>
      <c r="D3" s="68"/>
      <c r="E3" s="65"/>
      <c r="F3" s="65"/>
      <c r="G3" s="65"/>
      <c r="H3" s="65"/>
      <c r="I3" s="71"/>
      <c r="J3" s="33"/>
    </row>
    <row r="4" spans="1:10" ht="12.75">
      <c r="A4" s="72" t="s">
        <v>2</v>
      </c>
      <c r="B4" s="65"/>
      <c r="C4" s="73" t="s">
        <v>226</v>
      </c>
      <c r="D4" s="65"/>
      <c r="E4" s="73" t="s">
        <v>461</v>
      </c>
      <c r="F4" s="73" t="s">
        <v>466</v>
      </c>
      <c r="G4" s="65"/>
      <c r="H4" s="73" t="s">
        <v>555</v>
      </c>
      <c r="I4" s="74"/>
      <c r="J4" s="33"/>
    </row>
    <row r="5" spans="1:10" ht="12.75">
      <c r="A5" s="64"/>
      <c r="B5" s="65"/>
      <c r="C5" s="65"/>
      <c r="D5" s="65"/>
      <c r="E5" s="65"/>
      <c r="F5" s="65"/>
      <c r="G5" s="65"/>
      <c r="H5" s="65"/>
      <c r="I5" s="71"/>
      <c r="J5" s="33"/>
    </row>
    <row r="6" spans="1:10" ht="12.75">
      <c r="A6" s="72" t="s">
        <v>3</v>
      </c>
      <c r="B6" s="65"/>
      <c r="C6" s="73" t="s">
        <v>227</v>
      </c>
      <c r="D6" s="65"/>
      <c r="E6" s="73" t="s">
        <v>462</v>
      </c>
      <c r="F6" s="73"/>
      <c r="G6" s="65"/>
      <c r="H6" s="73" t="s">
        <v>555</v>
      </c>
      <c r="I6" s="74"/>
      <c r="J6" s="33"/>
    </row>
    <row r="7" spans="1:10" ht="12.75">
      <c r="A7" s="64"/>
      <c r="B7" s="65"/>
      <c r="C7" s="65"/>
      <c r="D7" s="65"/>
      <c r="E7" s="65"/>
      <c r="F7" s="65"/>
      <c r="G7" s="65"/>
      <c r="H7" s="65"/>
      <c r="I7" s="71"/>
      <c r="J7" s="33"/>
    </row>
    <row r="8" spans="1:10" ht="12.75">
      <c r="A8" s="72" t="s">
        <v>442</v>
      </c>
      <c r="B8" s="65"/>
      <c r="C8" s="75" t="s">
        <v>6</v>
      </c>
      <c r="D8" s="65"/>
      <c r="E8" s="73" t="s">
        <v>443</v>
      </c>
      <c r="F8" s="65"/>
      <c r="G8" s="65"/>
      <c r="H8" s="75" t="s">
        <v>556</v>
      </c>
      <c r="I8" s="74" t="s">
        <v>106</v>
      </c>
      <c r="J8" s="33"/>
    </row>
    <row r="9" spans="1:10" ht="12.75">
      <c r="A9" s="64"/>
      <c r="B9" s="65"/>
      <c r="C9" s="65"/>
      <c r="D9" s="65"/>
      <c r="E9" s="65"/>
      <c r="F9" s="65"/>
      <c r="G9" s="65"/>
      <c r="H9" s="65"/>
      <c r="I9" s="71"/>
      <c r="J9" s="33"/>
    </row>
    <row r="10" spans="1:10" ht="12.75">
      <c r="A10" s="72" t="s">
        <v>4</v>
      </c>
      <c r="B10" s="65"/>
      <c r="C10" s="73"/>
      <c r="D10" s="65"/>
      <c r="E10" s="73" t="s">
        <v>463</v>
      </c>
      <c r="F10" s="73"/>
      <c r="G10" s="65"/>
      <c r="H10" s="75" t="s">
        <v>557</v>
      </c>
      <c r="I10" s="78">
        <v>43290</v>
      </c>
      <c r="J10" s="33"/>
    </row>
    <row r="11" spans="1:10" ht="12.75">
      <c r="A11" s="76"/>
      <c r="B11" s="77"/>
      <c r="C11" s="77"/>
      <c r="D11" s="77"/>
      <c r="E11" s="77"/>
      <c r="F11" s="77"/>
      <c r="G11" s="77"/>
      <c r="H11" s="77"/>
      <c r="I11" s="79"/>
      <c r="J11" s="33"/>
    </row>
    <row r="12" spans="1:9" ht="23.25" customHeight="1">
      <c r="A12" s="80" t="s">
        <v>522</v>
      </c>
      <c r="B12" s="81"/>
      <c r="C12" s="81"/>
      <c r="D12" s="81"/>
      <c r="E12" s="81"/>
      <c r="F12" s="81"/>
      <c r="G12" s="81"/>
      <c r="H12" s="81"/>
      <c r="I12" s="81"/>
    </row>
    <row r="13" spans="1:10" ht="26.25" customHeight="1">
      <c r="A13" s="41" t="s">
        <v>523</v>
      </c>
      <c r="B13" s="82" t="s">
        <v>535</v>
      </c>
      <c r="C13" s="83"/>
      <c r="D13" s="41" t="s">
        <v>538</v>
      </c>
      <c r="E13" s="82" t="s">
        <v>544</v>
      </c>
      <c r="F13" s="83"/>
      <c r="G13" s="41" t="s">
        <v>545</v>
      </c>
      <c r="H13" s="82" t="s">
        <v>558</v>
      </c>
      <c r="I13" s="83"/>
      <c r="J13" s="33"/>
    </row>
    <row r="14" spans="1:10" ht="15" customHeight="1">
      <c r="A14" s="42" t="s">
        <v>524</v>
      </c>
      <c r="B14" s="46" t="s">
        <v>536</v>
      </c>
      <c r="C14" s="49">
        <f>SUM('Stavební rozpočet'!R12:R319)</f>
        <v>0</v>
      </c>
      <c r="D14" s="84" t="s">
        <v>539</v>
      </c>
      <c r="E14" s="85"/>
      <c r="F14" s="49">
        <f>ROUND(C22*(5/100),2)</f>
        <v>0</v>
      </c>
      <c r="G14" s="84" t="s">
        <v>546</v>
      </c>
      <c r="H14" s="85"/>
      <c r="I14" s="61">
        <v>0</v>
      </c>
      <c r="J14" s="33"/>
    </row>
    <row r="15" spans="1:10" ht="15" customHeight="1">
      <c r="A15" s="43"/>
      <c r="B15" s="46" t="s">
        <v>464</v>
      </c>
      <c r="C15" s="49">
        <f>SUM('Stavební rozpočet'!S12:S319)</f>
        <v>0</v>
      </c>
      <c r="D15" s="84"/>
      <c r="E15" s="85"/>
      <c r="F15" s="49"/>
      <c r="G15" s="84" t="s">
        <v>547</v>
      </c>
      <c r="H15" s="85"/>
      <c r="I15" s="61">
        <v>0</v>
      </c>
      <c r="J15" s="33"/>
    </row>
    <row r="16" spans="1:10" ht="15" customHeight="1">
      <c r="A16" s="42" t="s">
        <v>525</v>
      </c>
      <c r="B16" s="46" t="s">
        <v>536</v>
      </c>
      <c r="C16" s="49">
        <f>SUM('Stavební rozpočet'!T12:T319)</f>
        <v>0</v>
      </c>
      <c r="D16" s="84"/>
      <c r="E16" s="85"/>
      <c r="F16" s="49"/>
      <c r="G16" s="84" t="s">
        <v>548</v>
      </c>
      <c r="H16" s="85"/>
      <c r="I16" s="61">
        <v>0</v>
      </c>
      <c r="J16" s="33"/>
    </row>
    <row r="17" spans="1:10" ht="15" customHeight="1">
      <c r="A17" s="43"/>
      <c r="B17" s="46" t="s">
        <v>464</v>
      </c>
      <c r="C17" s="49">
        <f>SUM('Stavební rozpočet'!U12:U319)</f>
        <v>0</v>
      </c>
      <c r="D17" s="84"/>
      <c r="E17" s="85"/>
      <c r="F17" s="50"/>
      <c r="G17" s="84" t="s">
        <v>549</v>
      </c>
      <c r="H17" s="85"/>
      <c r="I17" s="61">
        <v>0</v>
      </c>
      <c r="J17" s="33"/>
    </row>
    <row r="18" spans="1:10" ht="15" customHeight="1">
      <c r="A18" s="42" t="s">
        <v>526</v>
      </c>
      <c r="B18" s="46" t="s">
        <v>536</v>
      </c>
      <c r="C18" s="49">
        <f>SUM('Stavební rozpočet'!V12:V319)</f>
        <v>0</v>
      </c>
      <c r="D18" s="84"/>
      <c r="E18" s="85"/>
      <c r="F18" s="50"/>
      <c r="G18" s="84" t="s">
        <v>550</v>
      </c>
      <c r="H18" s="85"/>
      <c r="I18" s="61">
        <v>0</v>
      </c>
      <c r="J18" s="33"/>
    </row>
    <row r="19" spans="1:10" ht="15" customHeight="1">
      <c r="A19" s="43"/>
      <c r="B19" s="46" t="s">
        <v>464</v>
      </c>
      <c r="C19" s="49">
        <f>SUM('Stavební rozpočet'!W12:W319)</f>
        <v>0</v>
      </c>
      <c r="D19" s="84"/>
      <c r="E19" s="85"/>
      <c r="F19" s="50"/>
      <c r="G19" s="84"/>
      <c r="H19" s="85"/>
      <c r="I19" s="49"/>
      <c r="J19" s="33"/>
    </row>
    <row r="20" spans="1:10" ht="15" customHeight="1">
      <c r="A20" s="86" t="s">
        <v>527</v>
      </c>
      <c r="B20" s="87"/>
      <c r="C20" s="49">
        <f>SUM('Stavební rozpočet'!X12:X319)</f>
        <v>0</v>
      </c>
      <c r="D20" s="84"/>
      <c r="E20" s="85"/>
      <c r="F20" s="50"/>
      <c r="G20" s="84"/>
      <c r="H20" s="85"/>
      <c r="I20" s="50"/>
      <c r="J20" s="33"/>
    </row>
    <row r="21" spans="1:10" ht="15" customHeight="1">
      <c r="A21" s="86" t="s">
        <v>528</v>
      </c>
      <c r="B21" s="87"/>
      <c r="C21" s="49">
        <f>SUM('Stavební rozpočet'!P12:P319)</f>
        <v>0</v>
      </c>
      <c r="D21" s="84"/>
      <c r="E21" s="85"/>
      <c r="F21" s="50"/>
      <c r="G21" s="84"/>
      <c r="H21" s="85"/>
      <c r="I21" s="50"/>
      <c r="J21" s="33"/>
    </row>
    <row r="22" spans="1:10" ht="16.5" customHeight="1">
      <c r="A22" s="86" t="s">
        <v>529</v>
      </c>
      <c r="B22" s="87"/>
      <c r="C22" s="49">
        <f>SUM(C14:C21)</f>
        <v>0</v>
      </c>
      <c r="D22" s="88" t="s">
        <v>540</v>
      </c>
      <c r="E22" s="89"/>
      <c r="F22" s="56">
        <f>SUM(F14:F21)</f>
        <v>0</v>
      </c>
      <c r="G22" s="88" t="s">
        <v>551</v>
      </c>
      <c r="H22" s="89"/>
      <c r="I22" s="56">
        <f>SUM(I14:I21)</f>
        <v>0</v>
      </c>
      <c r="J22" s="33"/>
    </row>
    <row r="23" spans="1:10" ht="15" customHeight="1">
      <c r="A23" s="8"/>
      <c r="B23" s="8"/>
      <c r="C23" s="8"/>
      <c r="D23" s="90"/>
      <c r="E23" s="91"/>
      <c r="F23" s="59"/>
      <c r="G23" s="90"/>
      <c r="H23" s="91"/>
      <c r="I23" s="59"/>
      <c r="J23" s="55"/>
    </row>
    <row r="24" spans="4:10" ht="15" customHeight="1">
      <c r="D24" s="55"/>
      <c r="E24" s="55"/>
      <c r="F24" s="55"/>
      <c r="G24" s="92"/>
      <c r="H24" s="93"/>
      <c r="I24" s="57"/>
      <c r="J24" s="55"/>
    </row>
    <row r="25" spans="4:10" ht="15" customHeight="1">
      <c r="D25" s="58"/>
      <c r="E25" s="58"/>
      <c r="F25" s="55"/>
      <c r="G25" s="92"/>
      <c r="H25" s="93"/>
      <c r="I25" s="57"/>
      <c r="J25" s="55"/>
    </row>
    <row r="26" spans="1:9" ht="12.75">
      <c r="A26" s="7"/>
      <c r="B26" s="7"/>
      <c r="C26" s="7"/>
      <c r="G26" s="55"/>
      <c r="H26" s="55"/>
      <c r="I26" s="55"/>
    </row>
    <row r="27" spans="1:9" ht="15" customHeight="1">
      <c r="A27" s="94" t="s">
        <v>530</v>
      </c>
      <c r="B27" s="95"/>
      <c r="C27" s="51">
        <f>SUM('Stavební rozpočet'!Z12:Z319)</f>
        <v>0</v>
      </c>
      <c r="D27" s="48"/>
      <c r="E27" s="7"/>
      <c r="F27" s="7"/>
      <c r="G27" s="7"/>
      <c r="H27" s="7"/>
      <c r="I27" s="7"/>
    </row>
    <row r="28" spans="1:10" ht="15" customHeight="1">
      <c r="A28" s="94" t="s">
        <v>531</v>
      </c>
      <c r="B28" s="95"/>
      <c r="C28" s="51">
        <f>SUM('Stavební rozpočet'!AA12:AA319)</f>
        <v>0</v>
      </c>
      <c r="D28" s="94" t="s">
        <v>541</v>
      </c>
      <c r="E28" s="95"/>
      <c r="F28" s="51">
        <f>ROUND(C28*(15/100),2)</f>
        <v>0</v>
      </c>
      <c r="G28" s="94" t="s">
        <v>552</v>
      </c>
      <c r="H28" s="95"/>
      <c r="I28" s="51">
        <f>SUM(C27:C29)</f>
        <v>0</v>
      </c>
      <c r="J28" s="33"/>
    </row>
    <row r="29" spans="1:10" ht="15" customHeight="1">
      <c r="A29" s="94" t="s">
        <v>532</v>
      </c>
      <c r="B29" s="95"/>
      <c r="C29" s="51">
        <f>SUM('Stavební rozpočet'!AB12:AB319)+(F22+I22+F23+I23+I24+I25)</f>
        <v>0</v>
      </c>
      <c r="D29" s="94" t="s">
        <v>542</v>
      </c>
      <c r="E29" s="95"/>
      <c r="F29" s="51">
        <f>ROUND(C29*(21/100),2)</f>
        <v>0</v>
      </c>
      <c r="G29" s="94" t="s">
        <v>553</v>
      </c>
      <c r="H29" s="95"/>
      <c r="I29" s="51">
        <f>SUM(F28:F29)+I28</f>
        <v>0</v>
      </c>
      <c r="J29" s="33"/>
    </row>
    <row r="30" spans="1:9" ht="12.75">
      <c r="A30" s="44"/>
      <c r="B30" s="44"/>
      <c r="C30" s="44"/>
      <c r="D30" s="44"/>
      <c r="E30" s="44"/>
      <c r="F30" s="44"/>
      <c r="G30" s="44"/>
      <c r="H30" s="44"/>
      <c r="I30" s="44"/>
    </row>
    <row r="31" spans="1:10" ht="14.25" customHeight="1">
      <c r="A31" s="99" t="s">
        <v>533</v>
      </c>
      <c r="B31" s="100"/>
      <c r="C31" s="101"/>
      <c r="D31" s="99" t="s">
        <v>543</v>
      </c>
      <c r="E31" s="100"/>
      <c r="F31" s="101"/>
      <c r="G31" s="99" t="s">
        <v>554</v>
      </c>
      <c r="H31" s="100"/>
      <c r="I31" s="101"/>
      <c r="J31" s="34"/>
    </row>
    <row r="32" spans="1:10" ht="14.25" customHeight="1">
      <c r="A32" s="96"/>
      <c r="B32" s="97"/>
      <c r="C32" s="98"/>
      <c r="D32" s="96"/>
      <c r="E32" s="97"/>
      <c r="F32" s="98"/>
      <c r="G32" s="96"/>
      <c r="H32" s="97"/>
      <c r="I32" s="98"/>
      <c r="J32" s="34"/>
    </row>
    <row r="33" spans="1:10" ht="14.25" customHeight="1">
      <c r="A33" s="96"/>
      <c r="B33" s="97"/>
      <c r="C33" s="98"/>
      <c r="D33" s="96"/>
      <c r="E33" s="97"/>
      <c r="F33" s="98"/>
      <c r="G33" s="96"/>
      <c r="H33" s="97"/>
      <c r="I33" s="98"/>
      <c r="J33" s="34"/>
    </row>
    <row r="34" spans="1:10" ht="14.25" customHeight="1">
      <c r="A34" s="96"/>
      <c r="B34" s="97"/>
      <c r="C34" s="98"/>
      <c r="D34" s="96"/>
      <c r="E34" s="97"/>
      <c r="F34" s="98"/>
      <c r="G34" s="96"/>
      <c r="H34" s="97"/>
      <c r="I34" s="98"/>
      <c r="J34" s="34"/>
    </row>
    <row r="35" spans="1:10" ht="14.25" customHeight="1">
      <c r="A35" s="104" t="s">
        <v>534</v>
      </c>
      <c r="B35" s="105"/>
      <c r="C35" s="106"/>
      <c r="D35" s="104" t="s">
        <v>534</v>
      </c>
      <c r="E35" s="105"/>
      <c r="F35" s="106"/>
      <c r="G35" s="104" t="s">
        <v>534</v>
      </c>
      <c r="H35" s="105"/>
      <c r="I35" s="106"/>
      <c r="J35" s="34"/>
    </row>
    <row r="36" spans="1:9" ht="11.25" customHeight="1">
      <c r="A36" s="45" t="s">
        <v>107</v>
      </c>
      <c r="B36" s="47"/>
      <c r="C36" s="47"/>
      <c r="D36" s="47"/>
      <c r="E36" s="47"/>
      <c r="F36" s="47"/>
      <c r="G36" s="47"/>
      <c r="H36" s="47"/>
      <c r="I36" s="47"/>
    </row>
    <row r="37" spans="1:9" ht="115.5" customHeight="1">
      <c r="A37" s="73" t="s">
        <v>108</v>
      </c>
      <c r="B37" s="65"/>
      <c r="C37" s="65"/>
      <c r="D37" s="65"/>
      <c r="E37" s="65"/>
      <c r="F37" s="65"/>
      <c r="G37" s="65"/>
      <c r="H37" s="65"/>
      <c r="I37" s="65"/>
    </row>
  </sheetData>
  <sheetProtection/>
  <mergeCells count="83"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2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71.421875" style="0" customWidth="1"/>
    <col min="4" max="4" width="4.28125" style="0" customWidth="1"/>
    <col min="5" max="5" width="12.8515625" style="0" customWidth="1"/>
    <col min="6" max="6" width="12.00390625" style="0" customWidth="1"/>
    <col min="7" max="8" width="14.28125" style="0" hidden="1" customWidth="1"/>
    <col min="9" max="9" width="14.28125" style="0" customWidth="1"/>
    <col min="10" max="12" width="11.7109375" style="0" hidden="1" customWidth="1"/>
    <col min="13" max="13" width="11.57421875" style="0" customWidth="1"/>
    <col min="14" max="47" width="12.140625" style="0" hidden="1" customWidth="1"/>
  </cols>
  <sheetData>
    <row r="1" spans="1:12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12.75">
      <c r="A2" s="62" t="s">
        <v>1</v>
      </c>
      <c r="B2" s="63"/>
      <c r="C2" s="66" t="s">
        <v>225</v>
      </c>
      <c r="D2" s="109" t="s">
        <v>441</v>
      </c>
      <c r="E2" s="63"/>
      <c r="F2" s="109"/>
      <c r="G2" s="63"/>
      <c r="H2" s="69" t="s">
        <v>460</v>
      </c>
      <c r="I2" s="69"/>
      <c r="J2" s="63"/>
      <c r="K2" s="63"/>
      <c r="L2" s="110"/>
      <c r="M2" s="33"/>
    </row>
    <row r="3" spans="1:13" ht="12.75">
      <c r="A3" s="64"/>
      <c r="B3" s="65"/>
      <c r="C3" s="68"/>
      <c r="D3" s="65"/>
      <c r="E3" s="65"/>
      <c r="F3" s="65"/>
      <c r="G3" s="65"/>
      <c r="H3" s="65"/>
      <c r="I3" s="65"/>
      <c r="J3" s="65"/>
      <c r="K3" s="65"/>
      <c r="L3" s="71"/>
      <c r="M3" s="33"/>
    </row>
    <row r="4" spans="1:13" ht="12.75">
      <c r="A4" s="72" t="s">
        <v>2</v>
      </c>
      <c r="B4" s="65"/>
      <c r="C4" s="73" t="s">
        <v>226</v>
      </c>
      <c r="D4" s="75" t="s">
        <v>442</v>
      </c>
      <c r="E4" s="65"/>
      <c r="F4" s="75" t="s">
        <v>6</v>
      </c>
      <c r="G4" s="65"/>
      <c r="H4" s="73" t="s">
        <v>461</v>
      </c>
      <c r="I4" s="73"/>
      <c r="J4" s="65"/>
      <c r="K4" s="65"/>
      <c r="L4" s="71"/>
      <c r="M4" s="33"/>
    </row>
    <row r="5" spans="1:13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71"/>
      <c r="M5" s="33"/>
    </row>
    <row r="6" spans="1:13" ht="12.75">
      <c r="A6" s="72" t="s">
        <v>3</v>
      </c>
      <c r="B6" s="65"/>
      <c r="C6" s="73" t="s">
        <v>227</v>
      </c>
      <c r="D6" s="75" t="s">
        <v>443</v>
      </c>
      <c r="E6" s="65"/>
      <c r="F6" s="65"/>
      <c r="G6" s="65"/>
      <c r="H6" s="73" t="s">
        <v>462</v>
      </c>
      <c r="I6" s="73"/>
      <c r="J6" s="65"/>
      <c r="K6" s="65"/>
      <c r="L6" s="71"/>
      <c r="M6" s="33"/>
    </row>
    <row r="7" spans="1:13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71"/>
      <c r="M7" s="33"/>
    </row>
    <row r="8" spans="1:13" ht="12.75">
      <c r="A8" s="72" t="s">
        <v>4</v>
      </c>
      <c r="B8" s="65"/>
      <c r="C8" s="73"/>
      <c r="D8" s="75" t="s">
        <v>444</v>
      </c>
      <c r="E8" s="65"/>
      <c r="F8" s="113">
        <v>43290</v>
      </c>
      <c r="G8" s="65"/>
      <c r="H8" s="73" t="s">
        <v>463</v>
      </c>
      <c r="I8" s="73"/>
      <c r="J8" s="65"/>
      <c r="K8" s="65"/>
      <c r="L8" s="71"/>
      <c r="M8" s="33"/>
    </row>
    <row r="9" spans="1:13" ht="12.75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4"/>
      <c r="M9" s="33"/>
    </row>
    <row r="10" spans="1:13" ht="12.75">
      <c r="A10" s="1" t="s">
        <v>5</v>
      </c>
      <c r="B10" s="10" t="s">
        <v>109</v>
      </c>
      <c r="C10" s="10" t="s">
        <v>228</v>
      </c>
      <c r="D10" s="10" t="s">
        <v>445</v>
      </c>
      <c r="E10" s="17" t="s">
        <v>454</v>
      </c>
      <c r="F10" s="22" t="s">
        <v>455</v>
      </c>
      <c r="G10" s="115" t="s">
        <v>457</v>
      </c>
      <c r="H10" s="116"/>
      <c r="I10" s="117"/>
      <c r="J10" s="115" t="s">
        <v>468</v>
      </c>
      <c r="K10" s="117"/>
      <c r="L10" s="29" t="s">
        <v>469</v>
      </c>
      <c r="M10" s="34"/>
    </row>
    <row r="11" spans="1:24" ht="12.75">
      <c r="A11" s="2" t="s">
        <v>6</v>
      </c>
      <c r="B11" s="11" t="s">
        <v>6</v>
      </c>
      <c r="C11" s="14" t="s">
        <v>229</v>
      </c>
      <c r="D11" s="11" t="s">
        <v>6</v>
      </c>
      <c r="E11" s="11" t="s">
        <v>6</v>
      </c>
      <c r="F11" s="23" t="s">
        <v>456</v>
      </c>
      <c r="G11" s="24" t="s">
        <v>458</v>
      </c>
      <c r="H11" s="25" t="s">
        <v>464</v>
      </c>
      <c r="I11" s="26" t="s">
        <v>467</v>
      </c>
      <c r="J11" s="24" t="s">
        <v>455</v>
      </c>
      <c r="K11" s="26" t="s">
        <v>467</v>
      </c>
      <c r="L11" s="30" t="s">
        <v>470</v>
      </c>
      <c r="M11" s="34"/>
      <c r="P11" s="28" t="s">
        <v>474</v>
      </c>
      <c r="Q11" s="28" t="s">
        <v>475</v>
      </c>
      <c r="R11" s="28" t="s">
        <v>479</v>
      </c>
      <c r="S11" s="28" t="s">
        <v>480</v>
      </c>
      <c r="T11" s="28" t="s">
        <v>481</v>
      </c>
      <c r="U11" s="28" t="s">
        <v>482</v>
      </c>
      <c r="V11" s="28" t="s">
        <v>483</v>
      </c>
      <c r="W11" s="28" t="s">
        <v>484</v>
      </c>
      <c r="X11" s="28" t="s">
        <v>485</v>
      </c>
    </row>
    <row r="12" spans="1:37" ht="12.75">
      <c r="A12" s="3"/>
      <c r="B12" s="12" t="s">
        <v>37</v>
      </c>
      <c r="C12" s="118" t="s">
        <v>230</v>
      </c>
      <c r="D12" s="119"/>
      <c r="E12" s="119"/>
      <c r="F12" s="119"/>
      <c r="G12" s="37">
        <f>SUM(G13:G19)</f>
        <v>0</v>
      </c>
      <c r="H12" s="37">
        <f>SUM(H13:H19)</f>
        <v>0</v>
      </c>
      <c r="I12" s="37">
        <f>G12+H12</f>
        <v>0</v>
      </c>
      <c r="J12" s="27"/>
      <c r="K12" s="37">
        <f>SUM(K13:K19)</f>
        <v>0.11205000000000001</v>
      </c>
      <c r="L12" s="27"/>
      <c r="P12" s="38">
        <f>IF(Q12="PR",I12,SUM(O13:O19))</f>
        <v>0</v>
      </c>
      <c r="Q12" s="28" t="s">
        <v>476</v>
      </c>
      <c r="R12" s="38">
        <f>IF(Q12="HS",G12,0)</f>
        <v>0</v>
      </c>
      <c r="S12" s="38">
        <f>IF(Q12="HS",H12-P12,0)</f>
        <v>0</v>
      </c>
      <c r="T12" s="38">
        <f>IF(Q12="PS",G12,0)</f>
        <v>0</v>
      </c>
      <c r="U12" s="38">
        <f>IF(Q12="PS",H12-P12,0)</f>
        <v>0</v>
      </c>
      <c r="V12" s="38">
        <f>IF(Q12="MP",G12,0)</f>
        <v>0</v>
      </c>
      <c r="W12" s="38">
        <f>IF(Q12="MP",H12-P12,0)</f>
        <v>0</v>
      </c>
      <c r="X12" s="38">
        <f>IF(Q12="OM",G12,0)</f>
        <v>0</v>
      </c>
      <c r="Y12" s="28"/>
      <c r="AI12" s="38">
        <f>SUM(Z13:Z19)</f>
        <v>0</v>
      </c>
      <c r="AJ12" s="38">
        <f>SUM(AA13:AA19)</f>
        <v>0</v>
      </c>
      <c r="AK12" s="38">
        <f>SUM(AB13:AB19)</f>
        <v>0</v>
      </c>
    </row>
    <row r="13" spans="1:43" ht="12.75">
      <c r="A13" s="4" t="s">
        <v>7</v>
      </c>
      <c r="B13" s="4" t="s">
        <v>110</v>
      </c>
      <c r="C13" s="4" t="s">
        <v>231</v>
      </c>
      <c r="D13" s="4" t="s">
        <v>446</v>
      </c>
      <c r="E13" s="18">
        <v>1</v>
      </c>
      <c r="F13" s="60">
        <v>0</v>
      </c>
      <c r="G13" s="18">
        <f>E13*AE13</f>
        <v>0</v>
      </c>
      <c r="H13" s="18">
        <f>I13-G13</f>
        <v>0</v>
      </c>
      <c r="I13" s="18">
        <f>E13*F13</f>
        <v>0</v>
      </c>
      <c r="J13" s="18">
        <v>0.02575</v>
      </c>
      <c r="K13" s="18">
        <f>E13*J13</f>
        <v>0.02575</v>
      </c>
      <c r="L13" s="31" t="s">
        <v>471</v>
      </c>
      <c r="N13" s="31" t="s">
        <v>7</v>
      </c>
      <c r="O13" s="18">
        <f>IF(N13="5",H13,0)</f>
        <v>0</v>
      </c>
      <c r="Z13" s="18">
        <f>IF(AD13=0,I13,0)</f>
        <v>0</v>
      </c>
      <c r="AA13" s="18">
        <f>IF(AD13=15,I13,0)</f>
        <v>0</v>
      </c>
      <c r="AB13" s="18">
        <f>IF(AD13=21,I13,0)</f>
        <v>0</v>
      </c>
      <c r="AD13" s="35">
        <v>21</v>
      </c>
      <c r="AE13" s="35">
        <f>F13*0.654581105169341</f>
        <v>0</v>
      </c>
      <c r="AF13" s="35">
        <f>F13*(1-0.654581105169341)</f>
        <v>0</v>
      </c>
      <c r="AM13" s="35">
        <f>E13*AE13</f>
        <v>0</v>
      </c>
      <c r="AN13" s="35">
        <f>E13*AF13</f>
        <v>0</v>
      </c>
      <c r="AO13" s="36" t="s">
        <v>486</v>
      </c>
      <c r="AP13" s="36" t="s">
        <v>511</v>
      </c>
      <c r="AQ13" s="28" t="s">
        <v>521</v>
      </c>
    </row>
    <row r="14" spans="3:5" ht="12.75">
      <c r="C14" s="15" t="s">
        <v>7</v>
      </c>
      <c r="E14" s="19">
        <v>1</v>
      </c>
    </row>
    <row r="15" spans="1:43" ht="12.75">
      <c r="A15" s="4" t="s">
        <v>8</v>
      </c>
      <c r="B15" s="4" t="s">
        <v>111</v>
      </c>
      <c r="C15" s="4" t="s">
        <v>232</v>
      </c>
      <c r="D15" s="4" t="s">
        <v>446</v>
      </c>
      <c r="E15" s="18">
        <v>1</v>
      </c>
      <c r="F15" s="60">
        <v>0</v>
      </c>
      <c r="G15" s="18">
        <f>E15*AE15</f>
        <v>0</v>
      </c>
      <c r="H15" s="18">
        <f>I15-G15</f>
        <v>0</v>
      </c>
      <c r="I15" s="18">
        <f>E15*F15</f>
        <v>0</v>
      </c>
      <c r="J15" s="18">
        <v>0.01726</v>
      </c>
      <c r="K15" s="18">
        <f>E15*J15</f>
        <v>0.01726</v>
      </c>
      <c r="L15" s="31" t="s">
        <v>471</v>
      </c>
      <c r="N15" s="31" t="s">
        <v>7</v>
      </c>
      <c r="O15" s="18">
        <f>IF(N15="5",H15,0)</f>
        <v>0</v>
      </c>
      <c r="Z15" s="18">
        <f>IF(AD15=0,I15,0)</f>
        <v>0</v>
      </c>
      <c r="AA15" s="18">
        <f>IF(AD15=15,I15,0)</f>
        <v>0</v>
      </c>
      <c r="AB15" s="18">
        <f>IF(AD15=21,I15,0)</f>
        <v>0</v>
      </c>
      <c r="AD15" s="35">
        <v>21</v>
      </c>
      <c r="AE15" s="35">
        <f>F15*0.607465181058496</f>
        <v>0</v>
      </c>
      <c r="AF15" s="35">
        <f>F15*(1-0.607465181058496)</f>
        <v>0</v>
      </c>
      <c r="AM15" s="35">
        <f>E15*AE15</f>
        <v>0</v>
      </c>
      <c r="AN15" s="35">
        <f>E15*AF15</f>
        <v>0</v>
      </c>
      <c r="AO15" s="36" t="s">
        <v>486</v>
      </c>
      <c r="AP15" s="36" t="s">
        <v>511</v>
      </c>
      <c r="AQ15" s="28" t="s">
        <v>521</v>
      </c>
    </row>
    <row r="16" spans="3:5" ht="12.75">
      <c r="C16" s="15" t="s">
        <v>7</v>
      </c>
      <c r="E16" s="19">
        <v>1</v>
      </c>
    </row>
    <row r="17" spans="1:43" ht="12.75">
      <c r="A17" s="4" t="s">
        <v>9</v>
      </c>
      <c r="B17" s="4" t="s">
        <v>112</v>
      </c>
      <c r="C17" s="4" t="s">
        <v>233</v>
      </c>
      <c r="D17" s="4" t="s">
        <v>446</v>
      </c>
      <c r="E17" s="18">
        <v>2</v>
      </c>
      <c r="F17" s="60">
        <v>0</v>
      </c>
      <c r="G17" s="18">
        <f>E17*AE17</f>
        <v>0</v>
      </c>
      <c r="H17" s="18">
        <f>I17-G17</f>
        <v>0</v>
      </c>
      <c r="I17" s="18">
        <f>E17*F17</f>
        <v>0</v>
      </c>
      <c r="J17" s="18">
        <v>0.01726</v>
      </c>
      <c r="K17" s="18">
        <f>E17*J17</f>
        <v>0.03452</v>
      </c>
      <c r="L17" s="31" t="s">
        <v>472</v>
      </c>
      <c r="N17" s="31" t="s">
        <v>7</v>
      </c>
      <c r="O17" s="18">
        <f>IF(N17="5",H17,0)</f>
        <v>0</v>
      </c>
      <c r="Z17" s="18">
        <f>IF(AD17=0,I17,0)</f>
        <v>0</v>
      </c>
      <c r="AA17" s="18">
        <f>IF(AD17=15,I17,0)</f>
        <v>0</v>
      </c>
      <c r="AB17" s="18">
        <f>IF(AD17=21,I17,0)</f>
        <v>0</v>
      </c>
      <c r="AD17" s="35">
        <v>21</v>
      </c>
      <c r="AE17" s="35">
        <f>F17*0.287325428194993</f>
        <v>0</v>
      </c>
      <c r="AF17" s="35">
        <f>F17*(1-0.287325428194993)</f>
        <v>0</v>
      </c>
      <c r="AM17" s="35">
        <f>E17*AE17</f>
        <v>0</v>
      </c>
      <c r="AN17" s="35">
        <f>E17*AF17</f>
        <v>0</v>
      </c>
      <c r="AO17" s="36" t="s">
        <v>486</v>
      </c>
      <c r="AP17" s="36" t="s">
        <v>511</v>
      </c>
      <c r="AQ17" s="28" t="s">
        <v>521</v>
      </c>
    </row>
    <row r="18" spans="3:5" ht="12.75">
      <c r="C18" s="15" t="s">
        <v>8</v>
      </c>
      <c r="E18" s="19">
        <v>2</v>
      </c>
    </row>
    <row r="19" spans="1:43" ht="12.75">
      <c r="A19" s="4" t="s">
        <v>10</v>
      </c>
      <c r="B19" s="4" t="s">
        <v>113</v>
      </c>
      <c r="C19" s="4" t="s">
        <v>234</v>
      </c>
      <c r="D19" s="4" t="s">
        <v>446</v>
      </c>
      <c r="E19" s="18">
        <v>2</v>
      </c>
      <c r="F19" s="60">
        <v>0</v>
      </c>
      <c r="G19" s="18">
        <f>E19*AE19</f>
        <v>0</v>
      </c>
      <c r="H19" s="18">
        <f>I19-G19</f>
        <v>0</v>
      </c>
      <c r="I19" s="18">
        <f>E19*F19</f>
        <v>0</v>
      </c>
      <c r="J19" s="18">
        <v>0.01726</v>
      </c>
      <c r="K19" s="18">
        <f>E19*J19</f>
        <v>0.03452</v>
      </c>
      <c r="L19" s="31" t="s">
        <v>472</v>
      </c>
      <c r="N19" s="31" t="s">
        <v>7</v>
      </c>
      <c r="O19" s="18">
        <f>IF(N19="5",H19,0)</f>
        <v>0</v>
      </c>
      <c r="Z19" s="18">
        <f>IF(AD19=0,I19,0)</f>
        <v>0</v>
      </c>
      <c r="AA19" s="18">
        <f>IF(AD19=15,I19,0)</f>
        <v>0</v>
      </c>
      <c r="AB19" s="18">
        <f>IF(AD19=21,I19,0)</f>
        <v>0</v>
      </c>
      <c r="AD19" s="35">
        <v>21</v>
      </c>
      <c r="AE19" s="35">
        <f>F19*0.287325428194993</f>
        <v>0</v>
      </c>
      <c r="AF19" s="35">
        <f>F19*(1-0.287325428194993)</f>
        <v>0</v>
      </c>
      <c r="AM19" s="35">
        <f>E19*AE19</f>
        <v>0</v>
      </c>
      <c r="AN19" s="35">
        <f>E19*AF19</f>
        <v>0</v>
      </c>
      <c r="AO19" s="36" t="s">
        <v>486</v>
      </c>
      <c r="AP19" s="36" t="s">
        <v>511</v>
      </c>
      <c r="AQ19" s="28" t="s">
        <v>521</v>
      </c>
    </row>
    <row r="20" spans="3:5" ht="12.75">
      <c r="C20" s="15" t="s">
        <v>8</v>
      </c>
      <c r="E20" s="19">
        <v>2</v>
      </c>
    </row>
    <row r="21" spans="1:37" ht="12.75">
      <c r="A21" s="5"/>
      <c r="B21" s="13" t="s">
        <v>40</v>
      </c>
      <c r="C21" s="120" t="s">
        <v>235</v>
      </c>
      <c r="D21" s="121"/>
      <c r="E21" s="121"/>
      <c r="F21" s="121"/>
      <c r="G21" s="38">
        <f>SUM(G22:G32)</f>
        <v>0</v>
      </c>
      <c r="H21" s="38">
        <f>SUM(H22:H32)</f>
        <v>0</v>
      </c>
      <c r="I21" s="38">
        <f>G21+H21</f>
        <v>0</v>
      </c>
      <c r="J21" s="28"/>
      <c r="K21" s="38">
        <f>SUM(K22:K32)</f>
        <v>2.9652494</v>
      </c>
      <c r="L21" s="28"/>
      <c r="P21" s="38">
        <f>IF(Q21="PR",I21,SUM(O22:O32))</f>
        <v>0</v>
      </c>
      <c r="Q21" s="28" t="s">
        <v>476</v>
      </c>
      <c r="R21" s="38">
        <f>IF(Q21="HS",G21,0)</f>
        <v>0</v>
      </c>
      <c r="S21" s="38">
        <f>IF(Q21="HS",H21-P21,0)</f>
        <v>0</v>
      </c>
      <c r="T21" s="38">
        <f>IF(Q21="PS",G21,0)</f>
        <v>0</v>
      </c>
      <c r="U21" s="38">
        <f>IF(Q21="PS",H21-P21,0)</f>
        <v>0</v>
      </c>
      <c r="V21" s="38">
        <f>IF(Q21="MP",G21,0)</f>
        <v>0</v>
      </c>
      <c r="W21" s="38">
        <f>IF(Q21="MP",H21-P21,0)</f>
        <v>0</v>
      </c>
      <c r="X21" s="38">
        <f>IF(Q21="OM",G21,0)</f>
        <v>0</v>
      </c>
      <c r="Y21" s="28"/>
      <c r="AI21" s="38">
        <f>SUM(Z22:Z32)</f>
        <v>0</v>
      </c>
      <c r="AJ21" s="38">
        <f>SUM(AA22:AA32)</f>
        <v>0</v>
      </c>
      <c r="AK21" s="38">
        <f>SUM(AB22:AB32)</f>
        <v>0</v>
      </c>
    </row>
    <row r="22" spans="1:43" ht="12.75">
      <c r="A22" s="4" t="s">
        <v>11</v>
      </c>
      <c r="B22" s="4" t="s">
        <v>114</v>
      </c>
      <c r="C22" s="4" t="s">
        <v>236</v>
      </c>
      <c r="D22" s="4" t="s">
        <v>446</v>
      </c>
      <c r="E22" s="18">
        <v>1</v>
      </c>
      <c r="F22" s="60">
        <v>0</v>
      </c>
      <c r="G22" s="18">
        <f>E22*AE22</f>
        <v>0</v>
      </c>
      <c r="H22" s="18">
        <f>I22-G22</f>
        <v>0</v>
      </c>
      <c r="I22" s="18">
        <f>E22*F22</f>
        <v>0</v>
      </c>
      <c r="J22" s="18">
        <v>0.00477</v>
      </c>
      <c r="K22" s="18">
        <f>E22*J22</f>
        <v>0.00477</v>
      </c>
      <c r="L22" s="31" t="s">
        <v>471</v>
      </c>
      <c r="N22" s="31" t="s">
        <v>7</v>
      </c>
      <c r="O22" s="18">
        <f>IF(N22="5",H22,0)</f>
        <v>0</v>
      </c>
      <c r="Z22" s="18">
        <f>IF(AD22=0,I22,0)</f>
        <v>0</v>
      </c>
      <c r="AA22" s="18">
        <f>IF(AD22=15,I22,0)</f>
        <v>0</v>
      </c>
      <c r="AB22" s="18">
        <f>IF(AD22=21,I22,0)</f>
        <v>0</v>
      </c>
      <c r="AD22" s="35">
        <v>21</v>
      </c>
      <c r="AE22" s="35">
        <f>F22*0.876820225688172</f>
        <v>0</v>
      </c>
      <c r="AF22" s="35">
        <f>F22*(1-0.876820225688172)</f>
        <v>0</v>
      </c>
      <c r="AM22" s="35">
        <f>E22*AE22</f>
        <v>0</v>
      </c>
      <c r="AN22" s="35">
        <f>E22*AF22</f>
        <v>0</v>
      </c>
      <c r="AO22" s="36" t="s">
        <v>487</v>
      </c>
      <c r="AP22" s="36" t="s">
        <v>511</v>
      </c>
      <c r="AQ22" s="28" t="s">
        <v>521</v>
      </c>
    </row>
    <row r="23" spans="3:5" ht="12.75">
      <c r="C23" s="15" t="s">
        <v>7</v>
      </c>
      <c r="E23" s="19">
        <v>1</v>
      </c>
    </row>
    <row r="24" spans="1:43" ht="12.75">
      <c r="A24" s="4" t="s">
        <v>12</v>
      </c>
      <c r="B24" s="4" t="s">
        <v>115</v>
      </c>
      <c r="C24" s="4" t="s">
        <v>237</v>
      </c>
      <c r="D24" s="4" t="s">
        <v>447</v>
      </c>
      <c r="E24" s="18">
        <v>11.44</v>
      </c>
      <c r="F24" s="60">
        <v>0</v>
      </c>
      <c r="G24" s="18">
        <f>E24*AE24</f>
        <v>0</v>
      </c>
      <c r="H24" s="18">
        <f>I24-G24</f>
        <v>0</v>
      </c>
      <c r="I24" s="18">
        <f>E24*F24</f>
        <v>0</v>
      </c>
      <c r="J24" s="18">
        <v>0.13523</v>
      </c>
      <c r="K24" s="18">
        <f>E24*J24</f>
        <v>1.5470311999999997</v>
      </c>
      <c r="L24" s="31" t="s">
        <v>471</v>
      </c>
      <c r="N24" s="31" t="s">
        <v>7</v>
      </c>
      <c r="O24" s="18">
        <f>IF(N24="5",H24,0)</f>
        <v>0</v>
      </c>
      <c r="Z24" s="18">
        <f>IF(AD24=0,I24,0)</f>
        <v>0</v>
      </c>
      <c r="AA24" s="18">
        <f>IF(AD24=15,I24,0)</f>
        <v>0</v>
      </c>
      <c r="AB24" s="18">
        <f>IF(AD24=21,I24,0)</f>
        <v>0</v>
      </c>
      <c r="AD24" s="35">
        <v>21</v>
      </c>
      <c r="AE24" s="35">
        <f>F24*0.693605546995377</f>
        <v>0</v>
      </c>
      <c r="AF24" s="35">
        <f>F24*(1-0.693605546995377)</f>
        <v>0</v>
      </c>
      <c r="AM24" s="35">
        <f>E24*AE24</f>
        <v>0</v>
      </c>
      <c r="AN24" s="35">
        <f>E24*AF24</f>
        <v>0</v>
      </c>
      <c r="AO24" s="36" t="s">
        <v>487</v>
      </c>
      <c r="AP24" s="36" t="s">
        <v>511</v>
      </c>
      <c r="AQ24" s="28" t="s">
        <v>521</v>
      </c>
    </row>
    <row r="25" spans="3:5" ht="12.75">
      <c r="C25" s="15" t="s">
        <v>238</v>
      </c>
      <c r="E25" s="19">
        <v>11.44</v>
      </c>
    </row>
    <row r="26" spans="1:43" ht="12.75">
      <c r="A26" s="4" t="s">
        <v>13</v>
      </c>
      <c r="B26" s="4" t="s">
        <v>116</v>
      </c>
      <c r="C26" s="4" t="s">
        <v>239</v>
      </c>
      <c r="D26" s="4" t="s">
        <v>447</v>
      </c>
      <c r="E26" s="18">
        <v>8.33</v>
      </c>
      <c r="F26" s="60">
        <v>0</v>
      </c>
      <c r="G26" s="18">
        <f>E26*AE26</f>
        <v>0</v>
      </c>
      <c r="H26" s="18">
        <f>I26-G26</f>
        <v>0</v>
      </c>
      <c r="I26" s="18">
        <f>E26*F26</f>
        <v>0</v>
      </c>
      <c r="J26" s="18">
        <v>0.11666</v>
      </c>
      <c r="K26" s="18">
        <f>E26*J26</f>
        <v>0.9717778</v>
      </c>
      <c r="L26" s="31" t="s">
        <v>471</v>
      </c>
      <c r="N26" s="31" t="s">
        <v>9</v>
      </c>
      <c r="O26" s="18">
        <f>IF(N26="5",H26,0)</f>
        <v>0</v>
      </c>
      <c r="Z26" s="18">
        <f>IF(AD26=0,I26,0)</f>
        <v>0</v>
      </c>
      <c r="AA26" s="18">
        <f>IF(AD26=15,I26,0)</f>
        <v>0</v>
      </c>
      <c r="AB26" s="18">
        <f>IF(AD26=21,I26,0)</f>
        <v>0</v>
      </c>
      <c r="AD26" s="35">
        <v>21</v>
      </c>
      <c r="AE26" s="35">
        <f>F26*0.62519056261343</f>
        <v>0</v>
      </c>
      <c r="AF26" s="35">
        <f>F26*(1-0.62519056261343)</f>
        <v>0</v>
      </c>
      <c r="AM26" s="35">
        <f>E26*AE26</f>
        <v>0</v>
      </c>
      <c r="AN26" s="35">
        <f>E26*AF26</f>
        <v>0</v>
      </c>
      <c r="AO26" s="36" t="s">
        <v>487</v>
      </c>
      <c r="AP26" s="36" t="s">
        <v>511</v>
      </c>
      <c r="AQ26" s="28" t="s">
        <v>521</v>
      </c>
    </row>
    <row r="27" spans="3:5" ht="12.75">
      <c r="C27" s="15" t="s">
        <v>240</v>
      </c>
      <c r="E27" s="19">
        <v>4.38</v>
      </c>
    </row>
    <row r="28" spans="3:5" ht="12.75">
      <c r="C28" s="15" t="s">
        <v>241</v>
      </c>
      <c r="E28" s="19">
        <v>1.41</v>
      </c>
    </row>
    <row r="29" spans="3:5" ht="12.75">
      <c r="C29" s="15" t="s">
        <v>242</v>
      </c>
      <c r="E29" s="19">
        <v>2.54</v>
      </c>
    </row>
    <row r="30" spans="1:43" ht="12.75">
      <c r="A30" s="4" t="s">
        <v>14</v>
      </c>
      <c r="B30" s="4" t="s">
        <v>117</v>
      </c>
      <c r="C30" s="4" t="s">
        <v>243</v>
      </c>
      <c r="D30" s="4" t="s">
        <v>447</v>
      </c>
      <c r="E30" s="18">
        <v>4.48</v>
      </c>
      <c r="F30" s="60">
        <v>0</v>
      </c>
      <c r="G30" s="18">
        <f>E30*AE30</f>
        <v>0</v>
      </c>
      <c r="H30" s="18">
        <f>I30-G30</f>
        <v>0</v>
      </c>
      <c r="I30" s="18">
        <f>E30*F30</f>
        <v>0</v>
      </c>
      <c r="J30" s="18">
        <v>0.09203</v>
      </c>
      <c r="K30" s="18">
        <f>E30*J30</f>
        <v>0.41229440000000006</v>
      </c>
      <c r="L30" s="31" t="s">
        <v>471</v>
      </c>
      <c r="N30" s="31" t="s">
        <v>9</v>
      </c>
      <c r="O30" s="18">
        <f>IF(N30="5",H30,0)</f>
        <v>0</v>
      </c>
      <c r="Z30" s="18">
        <f>IF(AD30=0,I30,0)</f>
        <v>0</v>
      </c>
      <c r="AA30" s="18">
        <f>IF(AD30=15,I30,0)</f>
        <v>0</v>
      </c>
      <c r="AB30" s="18">
        <f>IF(AD30=21,I30,0)</f>
        <v>0</v>
      </c>
      <c r="AD30" s="35">
        <v>21</v>
      </c>
      <c r="AE30" s="35">
        <f>F30*0.590163934426229</f>
        <v>0</v>
      </c>
      <c r="AF30" s="35">
        <f>F30*(1-0.590163934426229)</f>
        <v>0</v>
      </c>
      <c r="AM30" s="35">
        <f>E30*AE30</f>
        <v>0</v>
      </c>
      <c r="AN30" s="35">
        <f>E30*AF30</f>
        <v>0</v>
      </c>
      <c r="AO30" s="36" t="s">
        <v>487</v>
      </c>
      <c r="AP30" s="36" t="s">
        <v>511</v>
      </c>
      <c r="AQ30" s="28" t="s">
        <v>521</v>
      </c>
    </row>
    <row r="31" spans="3:5" ht="12.75">
      <c r="C31" s="15" t="s">
        <v>244</v>
      </c>
      <c r="E31" s="19">
        <v>4.48</v>
      </c>
    </row>
    <row r="32" spans="1:43" ht="12.75">
      <c r="A32" s="4" t="s">
        <v>15</v>
      </c>
      <c r="B32" s="4" t="s">
        <v>118</v>
      </c>
      <c r="C32" s="4" t="s">
        <v>245</v>
      </c>
      <c r="D32" s="4" t="s">
        <v>448</v>
      </c>
      <c r="E32" s="18">
        <v>28.8</v>
      </c>
      <c r="F32" s="60">
        <v>0</v>
      </c>
      <c r="G32" s="18">
        <f>E32*AE32</f>
        <v>0</v>
      </c>
      <c r="H32" s="18">
        <f>I32-G32</f>
        <v>0</v>
      </c>
      <c r="I32" s="18">
        <f>E32*F32</f>
        <v>0</v>
      </c>
      <c r="J32" s="18">
        <v>0.00102</v>
      </c>
      <c r="K32" s="18">
        <f>E32*J32</f>
        <v>0.029376000000000003</v>
      </c>
      <c r="L32" s="31" t="s">
        <v>471</v>
      </c>
      <c r="N32" s="31" t="s">
        <v>7</v>
      </c>
      <c r="O32" s="18">
        <f>IF(N32="5",H32,0)</f>
        <v>0</v>
      </c>
      <c r="Z32" s="18">
        <f>IF(AD32=0,I32,0)</f>
        <v>0</v>
      </c>
      <c r="AA32" s="18">
        <f>IF(AD32=15,I32,0)</f>
        <v>0</v>
      </c>
      <c r="AB32" s="18">
        <f>IF(AD32=21,I32,0)</f>
        <v>0</v>
      </c>
      <c r="AD32" s="35">
        <v>21</v>
      </c>
      <c r="AE32" s="35">
        <f>F32*0.157003745318352</f>
        <v>0</v>
      </c>
      <c r="AF32" s="35">
        <f>F32*(1-0.157003745318352)</f>
        <v>0</v>
      </c>
      <c r="AM32" s="35">
        <f>E32*AE32</f>
        <v>0</v>
      </c>
      <c r="AN32" s="35">
        <f>E32*AF32</f>
        <v>0</v>
      </c>
      <c r="AO32" s="36" t="s">
        <v>487</v>
      </c>
      <c r="AP32" s="36" t="s">
        <v>511</v>
      </c>
      <c r="AQ32" s="28" t="s">
        <v>521</v>
      </c>
    </row>
    <row r="33" spans="3:5" ht="12.75">
      <c r="C33" s="15" t="s">
        <v>246</v>
      </c>
      <c r="E33" s="19">
        <v>28.8</v>
      </c>
    </row>
    <row r="34" spans="1:37" ht="12.75">
      <c r="A34" s="5"/>
      <c r="B34" s="13" t="s">
        <v>47</v>
      </c>
      <c r="C34" s="120" t="s">
        <v>247</v>
      </c>
      <c r="D34" s="121"/>
      <c r="E34" s="121"/>
      <c r="F34" s="121"/>
      <c r="G34" s="38">
        <f>SUM(G35:G37)</f>
        <v>0</v>
      </c>
      <c r="H34" s="38">
        <f>SUM(H35:H37)</f>
        <v>0</v>
      </c>
      <c r="I34" s="38">
        <f>G34+H34</f>
        <v>0</v>
      </c>
      <c r="J34" s="28"/>
      <c r="K34" s="38">
        <f>SUM(K35:K37)</f>
        <v>0.8347460000000001</v>
      </c>
      <c r="L34" s="28"/>
      <c r="P34" s="38">
        <f>IF(Q34="PR",I34,SUM(O35:O37))</f>
        <v>0</v>
      </c>
      <c r="Q34" s="28" t="s">
        <v>476</v>
      </c>
      <c r="R34" s="38">
        <f>IF(Q34="HS",G34,0)</f>
        <v>0</v>
      </c>
      <c r="S34" s="38">
        <f>IF(Q34="HS",H34-P34,0)</f>
        <v>0</v>
      </c>
      <c r="T34" s="38">
        <f>IF(Q34="PS",G34,0)</f>
        <v>0</v>
      </c>
      <c r="U34" s="38">
        <f>IF(Q34="PS",H34-P34,0)</f>
        <v>0</v>
      </c>
      <c r="V34" s="38">
        <f>IF(Q34="MP",G34,0)</f>
        <v>0</v>
      </c>
      <c r="W34" s="38">
        <f>IF(Q34="MP",H34-P34,0)</f>
        <v>0</v>
      </c>
      <c r="X34" s="38">
        <f>IF(Q34="OM",G34,0)</f>
        <v>0</v>
      </c>
      <c r="Y34" s="28"/>
      <c r="AI34" s="38">
        <f>SUM(Z35:Z37)</f>
        <v>0</v>
      </c>
      <c r="AJ34" s="38">
        <f>SUM(AA35:AA37)</f>
        <v>0</v>
      </c>
      <c r="AK34" s="38">
        <f>SUM(AB35:AB37)</f>
        <v>0</v>
      </c>
    </row>
    <row r="35" spans="1:43" ht="12.75">
      <c r="A35" s="4" t="s">
        <v>16</v>
      </c>
      <c r="B35" s="4" t="s">
        <v>119</v>
      </c>
      <c r="C35" s="4" t="s">
        <v>248</v>
      </c>
      <c r="D35" s="4" t="s">
        <v>447</v>
      </c>
      <c r="E35" s="18">
        <v>13.04</v>
      </c>
      <c r="F35" s="60">
        <v>0</v>
      </c>
      <c r="G35" s="18">
        <f>E35*AE35</f>
        <v>0</v>
      </c>
      <c r="H35" s="18">
        <f>I35-G35</f>
        <v>0</v>
      </c>
      <c r="I35" s="18">
        <f>E35*F35</f>
        <v>0</v>
      </c>
      <c r="J35" s="18">
        <v>0.01379</v>
      </c>
      <c r="K35" s="18">
        <f>E35*J35</f>
        <v>0.1798216</v>
      </c>
      <c r="L35" s="31" t="s">
        <v>471</v>
      </c>
      <c r="N35" s="31" t="s">
        <v>7</v>
      </c>
      <c r="O35" s="18">
        <f>IF(N35="5",H35,0)</f>
        <v>0</v>
      </c>
      <c r="Z35" s="18">
        <f>IF(AD35=0,I35,0)</f>
        <v>0</v>
      </c>
      <c r="AA35" s="18">
        <f>IF(AD35=15,I35,0)</f>
        <v>0</v>
      </c>
      <c r="AB35" s="18">
        <f>IF(AD35=21,I35,0)</f>
        <v>0</v>
      </c>
      <c r="AD35" s="35">
        <v>21</v>
      </c>
      <c r="AE35" s="35">
        <f>F35*0.519325490196078</f>
        <v>0</v>
      </c>
      <c r="AF35" s="35">
        <f>F35*(1-0.519325490196078)</f>
        <v>0</v>
      </c>
      <c r="AM35" s="35">
        <f>E35*AE35</f>
        <v>0</v>
      </c>
      <c r="AN35" s="35">
        <f>E35*AF35</f>
        <v>0</v>
      </c>
      <c r="AO35" s="36" t="s">
        <v>488</v>
      </c>
      <c r="AP35" s="36" t="s">
        <v>512</v>
      </c>
      <c r="AQ35" s="28" t="s">
        <v>521</v>
      </c>
    </row>
    <row r="36" spans="3:5" ht="12.75">
      <c r="C36" s="15" t="s">
        <v>249</v>
      </c>
      <c r="E36" s="19">
        <v>13.04</v>
      </c>
    </row>
    <row r="37" spans="1:43" ht="12.75">
      <c r="A37" s="4" t="s">
        <v>17</v>
      </c>
      <c r="B37" s="4" t="s">
        <v>120</v>
      </c>
      <c r="C37" s="4" t="s">
        <v>250</v>
      </c>
      <c r="D37" s="4" t="s">
        <v>447</v>
      </c>
      <c r="E37" s="18">
        <v>52.52</v>
      </c>
      <c r="F37" s="60">
        <v>0</v>
      </c>
      <c r="G37" s="18">
        <f>E37*AE37</f>
        <v>0</v>
      </c>
      <c r="H37" s="18">
        <f>I37-G37</f>
        <v>0</v>
      </c>
      <c r="I37" s="18">
        <f>E37*F37</f>
        <v>0</v>
      </c>
      <c r="J37" s="18">
        <v>0.01247</v>
      </c>
      <c r="K37" s="18">
        <f>E37*J37</f>
        <v>0.6549244000000001</v>
      </c>
      <c r="L37" s="31" t="s">
        <v>471</v>
      </c>
      <c r="N37" s="31" t="s">
        <v>7</v>
      </c>
      <c r="O37" s="18">
        <f>IF(N37="5",H37,0)</f>
        <v>0</v>
      </c>
      <c r="Z37" s="18">
        <f>IF(AD37=0,I37,0)</f>
        <v>0</v>
      </c>
      <c r="AA37" s="18">
        <f>IF(AD37=15,I37,0)</f>
        <v>0</v>
      </c>
      <c r="AB37" s="18">
        <f>IF(AD37=21,I37,0)</f>
        <v>0</v>
      </c>
      <c r="AD37" s="35">
        <v>21</v>
      </c>
      <c r="AE37" s="35">
        <f>F37*0.403663716814159</f>
        <v>0</v>
      </c>
      <c r="AF37" s="35">
        <f>F37*(1-0.403663716814159)</f>
        <v>0</v>
      </c>
      <c r="AM37" s="35">
        <f>E37*AE37</f>
        <v>0</v>
      </c>
      <c r="AN37" s="35">
        <f>E37*AF37</f>
        <v>0</v>
      </c>
      <c r="AO37" s="36" t="s">
        <v>488</v>
      </c>
      <c r="AP37" s="36" t="s">
        <v>512</v>
      </c>
      <c r="AQ37" s="28" t="s">
        <v>521</v>
      </c>
    </row>
    <row r="38" spans="3:5" ht="12.75">
      <c r="C38" s="15" t="s">
        <v>251</v>
      </c>
      <c r="E38" s="19">
        <v>49.45</v>
      </c>
    </row>
    <row r="39" spans="3:5" ht="12.75">
      <c r="C39" s="15" t="s">
        <v>252</v>
      </c>
      <c r="E39" s="19">
        <v>3.07</v>
      </c>
    </row>
    <row r="40" spans="1:37" ht="12.75">
      <c r="A40" s="5"/>
      <c r="B40" s="13" t="s">
        <v>67</v>
      </c>
      <c r="C40" s="120" t="s">
        <v>253</v>
      </c>
      <c r="D40" s="121"/>
      <c r="E40" s="121"/>
      <c r="F40" s="121"/>
      <c r="G40" s="38">
        <f>SUM(G41:G45)</f>
        <v>0</v>
      </c>
      <c r="H40" s="38">
        <f>SUM(H41:H45)</f>
        <v>0</v>
      </c>
      <c r="I40" s="38">
        <f>G40+H40</f>
        <v>0</v>
      </c>
      <c r="J40" s="28"/>
      <c r="K40" s="38">
        <f>SUM(K41:K45)</f>
        <v>1.5943516</v>
      </c>
      <c r="L40" s="28"/>
      <c r="P40" s="38">
        <f>IF(Q40="PR",I40,SUM(O41:O45))</f>
        <v>0</v>
      </c>
      <c r="Q40" s="28" t="s">
        <v>476</v>
      </c>
      <c r="R40" s="38">
        <f>IF(Q40="HS",G40,0)</f>
        <v>0</v>
      </c>
      <c r="S40" s="38">
        <f>IF(Q40="HS",H40-P40,0)</f>
        <v>0</v>
      </c>
      <c r="T40" s="38">
        <f>IF(Q40="PS",G40,0)</f>
        <v>0</v>
      </c>
      <c r="U40" s="38">
        <f>IF(Q40="PS",H40-P40,0)</f>
        <v>0</v>
      </c>
      <c r="V40" s="38">
        <f>IF(Q40="MP",G40,0)</f>
        <v>0</v>
      </c>
      <c r="W40" s="38">
        <f>IF(Q40="MP",H40-P40,0)</f>
        <v>0</v>
      </c>
      <c r="X40" s="38">
        <f>IF(Q40="OM",G40,0)</f>
        <v>0</v>
      </c>
      <c r="Y40" s="28"/>
      <c r="AI40" s="38">
        <f>SUM(Z41:Z45)</f>
        <v>0</v>
      </c>
      <c r="AJ40" s="38">
        <f>SUM(AA41:AA45)</f>
        <v>0</v>
      </c>
      <c r="AK40" s="38">
        <f>SUM(AB41:AB45)</f>
        <v>0</v>
      </c>
    </row>
    <row r="41" spans="1:43" ht="12.75">
      <c r="A41" s="4" t="s">
        <v>18</v>
      </c>
      <c r="B41" s="4" t="s">
        <v>121</v>
      </c>
      <c r="C41" s="4" t="s">
        <v>254</v>
      </c>
      <c r="D41" s="4" t="s">
        <v>448</v>
      </c>
      <c r="E41" s="18">
        <v>100</v>
      </c>
      <c r="F41" s="60">
        <v>0</v>
      </c>
      <c r="G41" s="18">
        <f>E41*AE41</f>
        <v>0</v>
      </c>
      <c r="H41" s="18">
        <f>I41-G41</f>
        <v>0</v>
      </c>
      <c r="I41" s="18">
        <f>E41*F41</f>
        <v>0</v>
      </c>
      <c r="J41" s="18">
        <v>0.00238</v>
      </c>
      <c r="K41" s="18">
        <f>E41*J41</f>
        <v>0.23800000000000002</v>
      </c>
      <c r="L41" s="31" t="s">
        <v>471</v>
      </c>
      <c r="N41" s="31" t="s">
        <v>7</v>
      </c>
      <c r="O41" s="18">
        <f>IF(N41="5",H41,0)</f>
        <v>0</v>
      </c>
      <c r="Z41" s="18">
        <f>IF(AD41=0,I41,0)</f>
        <v>0</v>
      </c>
      <c r="AA41" s="18">
        <f>IF(AD41=15,I41,0)</f>
        <v>0</v>
      </c>
      <c r="AB41" s="18">
        <f>IF(AD41=21,I41,0)</f>
        <v>0</v>
      </c>
      <c r="AD41" s="35">
        <v>21</v>
      </c>
      <c r="AE41" s="35">
        <f>F41*0.124381625441696</f>
        <v>0</v>
      </c>
      <c r="AF41" s="35">
        <f>F41*(1-0.124381625441696)</f>
        <v>0</v>
      </c>
      <c r="AM41" s="35">
        <f>E41*AE41</f>
        <v>0</v>
      </c>
      <c r="AN41" s="35">
        <f>E41*AF41</f>
        <v>0</v>
      </c>
      <c r="AO41" s="36" t="s">
        <v>489</v>
      </c>
      <c r="AP41" s="36" t="s">
        <v>513</v>
      </c>
      <c r="AQ41" s="28" t="s">
        <v>521</v>
      </c>
    </row>
    <row r="42" spans="3:5" ht="12.75">
      <c r="C42" s="15" t="s">
        <v>106</v>
      </c>
      <c r="E42" s="19">
        <v>100</v>
      </c>
    </row>
    <row r="43" spans="1:43" ht="12.75">
      <c r="A43" s="4" t="s">
        <v>19</v>
      </c>
      <c r="B43" s="4" t="s">
        <v>122</v>
      </c>
      <c r="C43" s="4" t="s">
        <v>255</v>
      </c>
      <c r="D43" s="4" t="s">
        <v>447</v>
      </c>
      <c r="E43" s="18">
        <v>25.62</v>
      </c>
      <c r="F43" s="60">
        <v>0</v>
      </c>
      <c r="G43" s="18">
        <f>E43*AE43</f>
        <v>0</v>
      </c>
      <c r="H43" s="18">
        <f>I43-G43</f>
        <v>0</v>
      </c>
      <c r="I43" s="18">
        <f>E43*F43</f>
        <v>0</v>
      </c>
      <c r="J43" s="18">
        <v>0.04414</v>
      </c>
      <c r="K43" s="18">
        <f>E43*J43</f>
        <v>1.1308668</v>
      </c>
      <c r="L43" s="31" t="s">
        <v>471</v>
      </c>
      <c r="N43" s="31" t="s">
        <v>7</v>
      </c>
      <c r="O43" s="18">
        <f>IF(N43="5",H43,0)</f>
        <v>0</v>
      </c>
      <c r="Z43" s="18">
        <f>IF(AD43=0,I43,0)</f>
        <v>0</v>
      </c>
      <c r="AA43" s="18">
        <f>IF(AD43=15,I43,0)</f>
        <v>0</v>
      </c>
      <c r="AB43" s="18">
        <f>IF(AD43=21,I43,0)</f>
        <v>0</v>
      </c>
      <c r="AD43" s="35">
        <v>21</v>
      </c>
      <c r="AE43" s="35">
        <f>F43*0.210997442455243</f>
        <v>0</v>
      </c>
      <c r="AF43" s="35">
        <f>F43*(1-0.210997442455243)</f>
        <v>0</v>
      </c>
      <c r="AM43" s="35">
        <f>E43*AE43</f>
        <v>0</v>
      </c>
      <c r="AN43" s="35">
        <f>E43*AF43</f>
        <v>0</v>
      </c>
      <c r="AO43" s="36" t="s">
        <v>489</v>
      </c>
      <c r="AP43" s="36" t="s">
        <v>513</v>
      </c>
      <c r="AQ43" s="28" t="s">
        <v>521</v>
      </c>
    </row>
    <row r="44" spans="3:5" ht="12.75">
      <c r="C44" s="15" t="s">
        <v>256</v>
      </c>
      <c r="E44" s="19">
        <v>25.62</v>
      </c>
    </row>
    <row r="45" spans="1:43" ht="25.5">
      <c r="A45" s="4" t="s">
        <v>20</v>
      </c>
      <c r="B45" s="4" t="s">
        <v>123</v>
      </c>
      <c r="C45" s="52" t="s">
        <v>257</v>
      </c>
      <c r="D45" s="4" t="s">
        <v>447</v>
      </c>
      <c r="E45" s="18">
        <v>61.44</v>
      </c>
      <c r="F45" s="60">
        <v>0</v>
      </c>
      <c r="G45" s="18">
        <f>E45*AE45</f>
        <v>0</v>
      </c>
      <c r="H45" s="18">
        <f>I45-G45</f>
        <v>0</v>
      </c>
      <c r="I45" s="18">
        <f>E45*F45</f>
        <v>0</v>
      </c>
      <c r="J45" s="18">
        <v>0.00367</v>
      </c>
      <c r="K45" s="18">
        <f>E45*J45</f>
        <v>0.22548479999999999</v>
      </c>
      <c r="L45" s="31" t="s">
        <v>471</v>
      </c>
      <c r="N45" s="31" t="s">
        <v>7</v>
      </c>
      <c r="O45" s="18">
        <f>IF(N45="5",H45,0)</f>
        <v>0</v>
      </c>
      <c r="Z45" s="18">
        <f>IF(AD45=0,I45,0)</f>
        <v>0</v>
      </c>
      <c r="AA45" s="18">
        <f>IF(AD45=15,I45,0)</f>
        <v>0</v>
      </c>
      <c r="AB45" s="18">
        <f>IF(AD45=21,I45,0)</f>
        <v>0</v>
      </c>
      <c r="AD45" s="35">
        <v>21</v>
      </c>
      <c r="AE45" s="35">
        <f>F45*0.305577464788732</f>
        <v>0</v>
      </c>
      <c r="AF45" s="35">
        <f>F45*(1-0.305577464788732)</f>
        <v>0</v>
      </c>
      <c r="AM45" s="35">
        <f>E45*AE45</f>
        <v>0</v>
      </c>
      <c r="AN45" s="35">
        <f>E45*AF45</f>
        <v>0</v>
      </c>
      <c r="AO45" s="36" t="s">
        <v>489</v>
      </c>
      <c r="AP45" s="36" t="s">
        <v>513</v>
      </c>
      <c r="AQ45" s="28" t="s">
        <v>521</v>
      </c>
    </row>
    <row r="46" spans="3:5" ht="12.75">
      <c r="C46" s="15" t="s">
        <v>258</v>
      </c>
      <c r="E46" s="19">
        <v>11.44</v>
      </c>
    </row>
    <row r="47" spans="3:5" ht="12.75">
      <c r="C47" s="15" t="s">
        <v>56</v>
      </c>
      <c r="E47" s="19">
        <v>50</v>
      </c>
    </row>
    <row r="48" spans="1:37" ht="12.75">
      <c r="A48" s="5"/>
      <c r="B48" s="13" t="s">
        <v>69</v>
      </c>
      <c r="C48" s="120" t="s">
        <v>259</v>
      </c>
      <c r="D48" s="121"/>
      <c r="E48" s="121"/>
      <c r="F48" s="121"/>
      <c r="G48" s="38">
        <f>SUM(G49:G51)</f>
        <v>0</v>
      </c>
      <c r="H48" s="38">
        <f>SUM(H49:H51)</f>
        <v>0</v>
      </c>
      <c r="I48" s="38">
        <f>G48+H48</f>
        <v>0</v>
      </c>
      <c r="J48" s="28"/>
      <c r="K48" s="38">
        <f>SUM(K49:K51)</f>
        <v>0.7070000000000001</v>
      </c>
      <c r="L48" s="28"/>
      <c r="P48" s="38">
        <f>IF(Q48="PR",I48,SUM(O49:O51))</f>
        <v>0</v>
      </c>
      <c r="Q48" s="28" t="s">
        <v>476</v>
      </c>
      <c r="R48" s="38">
        <f>IF(Q48="HS",G48,0)</f>
        <v>0</v>
      </c>
      <c r="S48" s="38">
        <f>IF(Q48="HS",H48-P48,0)</f>
        <v>0</v>
      </c>
      <c r="T48" s="38">
        <f>IF(Q48="PS",G48,0)</f>
        <v>0</v>
      </c>
      <c r="U48" s="38">
        <f>IF(Q48="PS",H48-P48,0)</f>
        <v>0</v>
      </c>
      <c r="V48" s="38">
        <f>IF(Q48="MP",G48,0)</f>
        <v>0</v>
      </c>
      <c r="W48" s="38">
        <f>IF(Q48="MP",H48-P48,0)</f>
        <v>0</v>
      </c>
      <c r="X48" s="38">
        <f>IF(Q48="OM",G48,0)</f>
        <v>0</v>
      </c>
      <c r="Y48" s="28"/>
      <c r="AI48" s="38">
        <f>SUM(Z49:Z51)</f>
        <v>0</v>
      </c>
      <c r="AJ48" s="38">
        <f>SUM(AA49:AA51)</f>
        <v>0</v>
      </c>
      <c r="AK48" s="38">
        <f>SUM(AB49:AB51)</f>
        <v>0</v>
      </c>
    </row>
    <row r="49" spans="1:43" ht="12.75">
      <c r="A49" s="4" t="s">
        <v>21</v>
      </c>
      <c r="B49" s="4" t="s">
        <v>124</v>
      </c>
      <c r="C49" s="4" t="s">
        <v>260</v>
      </c>
      <c r="D49" s="4" t="s">
        <v>449</v>
      </c>
      <c r="E49" s="18">
        <v>0.28</v>
      </c>
      <c r="F49" s="60">
        <v>0</v>
      </c>
      <c r="G49" s="18">
        <f>E49*AE49</f>
        <v>0</v>
      </c>
      <c r="H49" s="18">
        <f>I49-G49</f>
        <v>0</v>
      </c>
      <c r="I49" s="18">
        <f>E49*F49</f>
        <v>0</v>
      </c>
      <c r="J49" s="18">
        <v>2.525</v>
      </c>
      <c r="K49" s="18">
        <f>E49*J49</f>
        <v>0.7070000000000001</v>
      </c>
      <c r="L49" s="31" t="s">
        <v>471</v>
      </c>
      <c r="N49" s="31" t="s">
        <v>7</v>
      </c>
      <c r="O49" s="18">
        <f>IF(N49="5",H49,0)</f>
        <v>0</v>
      </c>
      <c r="Z49" s="18">
        <f>IF(AD49=0,I49,0)</f>
        <v>0</v>
      </c>
      <c r="AA49" s="18">
        <f>IF(AD49=15,I49,0)</f>
        <v>0</v>
      </c>
      <c r="AB49" s="18">
        <f>IF(AD49=21,I49,0)</f>
        <v>0</v>
      </c>
      <c r="AD49" s="35">
        <v>21</v>
      </c>
      <c r="AE49" s="35">
        <f>F49*0.729356435643564</f>
        <v>0</v>
      </c>
      <c r="AF49" s="35">
        <f>F49*(1-0.729356435643564)</f>
        <v>0</v>
      </c>
      <c r="AM49" s="35">
        <f>E49*AE49</f>
        <v>0</v>
      </c>
      <c r="AN49" s="35">
        <f>E49*AF49</f>
        <v>0</v>
      </c>
      <c r="AO49" s="36" t="s">
        <v>490</v>
      </c>
      <c r="AP49" s="36" t="s">
        <v>513</v>
      </c>
      <c r="AQ49" s="28" t="s">
        <v>521</v>
      </c>
    </row>
    <row r="50" spans="3:5" ht="12.75">
      <c r="C50" s="15" t="s">
        <v>261</v>
      </c>
      <c r="E50" s="19">
        <v>0.28</v>
      </c>
    </row>
    <row r="51" spans="1:43" ht="12.75">
      <c r="A51" s="4" t="s">
        <v>22</v>
      </c>
      <c r="B51" s="4" t="s">
        <v>125</v>
      </c>
      <c r="C51" s="4" t="s">
        <v>262</v>
      </c>
      <c r="D51" s="4" t="s">
        <v>449</v>
      </c>
      <c r="E51" s="18">
        <v>0.28</v>
      </c>
      <c r="F51" s="60">
        <v>0</v>
      </c>
      <c r="G51" s="18">
        <f>E51*AE51</f>
        <v>0</v>
      </c>
      <c r="H51" s="18">
        <f>I51-G51</f>
        <v>0</v>
      </c>
      <c r="I51" s="18">
        <f>E51*F51</f>
        <v>0</v>
      </c>
      <c r="J51" s="18">
        <v>0</v>
      </c>
      <c r="K51" s="18">
        <f>E51*J51</f>
        <v>0</v>
      </c>
      <c r="L51" s="31" t="s">
        <v>471</v>
      </c>
      <c r="N51" s="31" t="s">
        <v>7</v>
      </c>
      <c r="O51" s="18">
        <f>IF(N51="5",H51,0)</f>
        <v>0</v>
      </c>
      <c r="Z51" s="18">
        <f>IF(AD51=0,I51,0)</f>
        <v>0</v>
      </c>
      <c r="AA51" s="18">
        <f>IF(AD51=15,I51,0)</f>
        <v>0</v>
      </c>
      <c r="AB51" s="18">
        <f>IF(AD51=21,I51,0)</f>
        <v>0</v>
      </c>
      <c r="AD51" s="35">
        <v>21</v>
      </c>
      <c r="AE51" s="35">
        <f>F51*0</f>
        <v>0</v>
      </c>
      <c r="AF51" s="35">
        <f>F51*(1-0)</f>
        <v>0</v>
      </c>
      <c r="AM51" s="35">
        <f>E51*AE51</f>
        <v>0</v>
      </c>
      <c r="AN51" s="35">
        <f>E51*AF51</f>
        <v>0</v>
      </c>
      <c r="AO51" s="36" t="s">
        <v>490</v>
      </c>
      <c r="AP51" s="36" t="s">
        <v>513</v>
      </c>
      <c r="AQ51" s="28" t="s">
        <v>521</v>
      </c>
    </row>
    <row r="52" spans="3:5" ht="12.75">
      <c r="C52" s="15" t="s">
        <v>261</v>
      </c>
      <c r="E52" s="19">
        <v>0.28</v>
      </c>
    </row>
    <row r="53" spans="1:37" ht="12.75">
      <c r="A53" s="5"/>
      <c r="B53" s="13" t="s">
        <v>70</v>
      </c>
      <c r="C53" s="120" t="s">
        <v>263</v>
      </c>
      <c r="D53" s="121"/>
      <c r="E53" s="121"/>
      <c r="F53" s="121"/>
      <c r="G53" s="38">
        <f>SUM(G54:G70)</f>
        <v>0</v>
      </c>
      <c r="H53" s="38">
        <f>SUM(H54:H70)</f>
        <v>0</v>
      </c>
      <c r="I53" s="38">
        <f>G53+H53</f>
        <v>0</v>
      </c>
      <c r="J53" s="28"/>
      <c r="K53" s="38">
        <f>SUM(K54:K70)</f>
        <v>0.06401</v>
      </c>
      <c r="L53" s="28"/>
      <c r="P53" s="38">
        <f>IF(Q53="PR",I53,SUM(O54:O70))</f>
        <v>0</v>
      </c>
      <c r="Q53" s="28" t="s">
        <v>476</v>
      </c>
      <c r="R53" s="38">
        <f>IF(Q53="HS",G53,0)</f>
        <v>0</v>
      </c>
      <c r="S53" s="38">
        <f>IF(Q53="HS",H53-P53,0)</f>
        <v>0</v>
      </c>
      <c r="T53" s="38">
        <f>IF(Q53="PS",G53,0)</f>
        <v>0</v>
      </c>
      <c r="U53" s="38">
        <f>IF(Q53="PS",H53-P53,0)</f>
        <v>0</v>
      </c>
      <c r="V53" s="38">
        <f>IF(Q53="MP",G53,0)</f>
        <v>0</v>
      </c>
      <c r="W53" s="38">
        <f>IF(Q53="MP",H53-P53,0)</f>
        <v>0</v>
      </c>
      <c r="X53" s="38">
        <f>IF(Q53="OM",G53,0)</f>
        <v>0</v>
      </c>
      <c r="Y53" s="28"/>
      <c r="AI53" s="38">
        <f>SUM(Z54:Z70)</f>
        <v>0</v>
      </c>
      <c r="AJ53" s="38">
        <f>SUM(AA54:AA70)</f>
        <v>0</v>
      </c>
      <c r="AK53" s="38">
        <f>SUM(AB54:AB70)</f>
        <v>0</v>
      </c>
    </row>
    <row r="54" spans="1:43" ht="25.5">
      <c r="A54" s="4" t="s">
        <v>23</v>
      </c>
      <c r="B54" s="4" t="s">
        <v>126</v>
      </c>
      <c r="C54" s="52" t="s">
        <v>264</v>
      </c>
      <c r="D54" s="4" t="s">
        <v>446</v>
      </c>
      <c r="E54" s="18">
        <v>1</v>
      </c>
      <c r="F54" s="60">
        <v>0</v>
      </c>
      <c r="G54" s="18">
        <f>E54*AE54</f>
        <v>0</v>
      </c>
      <c r="H54" s="18">
        <f>I54-G54</f>
        <v>0</v>
      </c>
      <c r="I54" s="18">
        <f>E54*F54</f>
        <v>0</v>
      </c>
      <c r="J54" s="18">
        <v>0</v>
      </c>
      <c r="K54" s="18">
        <f>E54*J54</f>
        <v>0</v>
      </c>
      <c r="L54" s="31" t="s">
        <v>472</v>
      </c>
      <c r="N54" s="31" t="s">
        <v>9</v>
      </c>
      <c r="O54" s="18">
        <f>IF(N54="5",H54,0)</f>
        <v>0</v>
      </c>
      <c r="Z54" s="18">
        <f>IF(AD54=0,I54,0)</f>
        <v>0</v>
      </c>
      <c r="AA54" s="18">
        <f>IF(AD54=15,I54,0)</f>
        <v>0</v>
      </c>
      <c r="AB54" s="18">
        <f>IF(AD54=21,I54,0)</f>
        <v>0</v>
      </c>
      <c r="AD54" s="35">
        <v>21</v>
      </c>
      <c r="AE54" s="35">
        <f>F54*0.6</f>
        <v>0</v>
      </c>
      <c r="AF54" s="35">
        <f>F54*(1-0.6)</f>
        <v>0</v>
      </c>
      <c r="AM54" s="35">
        <f>E54*AE54</f>
        <v>0</v>
      </c>
      <c r="AN54" s="35">
        <f>E54*AF54</f>
        <v>0</v>
      </c>
      <c r="AO54" s="36" t="s">
        <v>491</v>
      </c>
      <c r="AP54" s="36" t="s">
        <v>513</v>
      </c>
      <c r="AQ54" s="28" t="s">
        <v>521</v>
      </c>
    </row>
    <row r="55" spans="3:5" ht="12.75">
      <c r="C55" s="15" t="s">
        <v>7</v>
      </c>
      <c r="E55" s="19">
        <v>1</v>
      </c>
    </row>
    <row r="56" spans="1:43" ht="12.75">
      <c r="A56" s="4" t="s">
        <v>24</v>
      </c>
      <c r="B56" s="4" t="s">
        <v>127</v>
      </c>
      <c r="C56" s="4" t="s">
        <v>265</v>
      </c>
      <c r="D56" s="4" t="s">
        <v>446</v>
      </c>
      <c r="E56" s="18">
        <v>1</v>
      </c>
      <c r="F56" s="60">
        <v>0</v>
      </c>
      <c r="G56" s="18">
        <f>E56*AE56</f>
        <v>0</v>
      </c>
      <c r="H56" s="18">
        <f>I56-G56</f>
        <v>0</v>
      </c>
      <c r="I56" s="18">
        <f>E56*F56</f>
        <v>0</v>
      </c>
      <c r="J56" s="18">
        <v>0.06401</v>
      </c>
      <c r="K56" s="18">
        <f>E56*J56</f>
        <v>0.06401</v>
      </c>
      <c r="L56" s="31" t="s">
        <v>471</v>
      </c>
      <c r="N56" s="31" t="s">
        <v>7</v>
      </c>
      <c r="O56" s="18">
        <f>IF(N56="5",H56,0)</f>
        <v>0</v>
      </c>
      <c r="Z56" s="18">
        <f>IF(AD56=0,I56,0)</f>
        <v>0</v>
      </c>
      <c r="AA56" s="18">
        <f>IF(AD56=15,I56,0)</f>
        <v>0</v>
      </c>
      <c r="AB56" s="18">
        <f>IF(AD56=21,I56,0)</f>
        <v>0</v>
      </c>
      <c r="AD56" s="35">
        <v>21</v>
      </c>
      <c r="AE56" s="35">
        <f>F56*0.582488628979857</f>
        <v>0</v>
      </c>
      <c r="AF56" s="35">
        <f>F56*(1-0.582488628979857)</f>
        <v>0</v>
      </c>
      <c r="AM56" s="35">
        <f>E56*AE56</f>
        <v>0</v>
      </c>
      <c r="AN56" s="35">
        <f>E56*AF56</f>
        <v>0</v>
      </c>
      <c r="AO56" s="36" t="s">
        <v>491</v>
      </c>
      <c r="AP56" s="36" t="s">
        <v>513</v>
      </c>
      <c r="AQ56" s="28" t="s">
        <v>521</v>
      </c>
    </row>
    <row r="57" spans="3:5" ht="12.75">
      <c r="C57" s="15" t="s">
        <v>7</v>
      </c>
      <c r="E57" s="19">
        <v>1</v>
      </c>
    </row>
    <row r="58" spans="1:43" ht="25.5">
      <c r="A58" s="4" t="s">
        <v>25</v>
      </c>
      <c r="B58" s="4" t="s">
        <v>128</v>
      </c>
      <c r="C58" s="52" t="s">
        <v>266</v>
      </c>
      <c r="D58" s="4" t="s">
        <v>446</v>
      </c>
      <c r="E58" s="18">
        <v>1</v>
      </c>
      <c r="F58" s="60">
        <v>0</v>
      </c>
      <c r="G58" s="18">
        <f>E58*AE58</f>
        <v>0</v>
      </c>
      <c r="H58" s="18">
        <f>I58-G58</f>
        <v>0</v>
      </c>
      <c r="I58" s="18">
        <f>E58*F58</f>
        <v>0</v>
      </c>
      <c r="J58" s="18">
        <v>0</v>
      </c>
      <c r="K58" s="18">
        <f>E58*J58</f>
        <v>0</v>
      </c>
      <c r="L58" s="31" t="s">
        <v>472</v>
      </c>
      <c r="N58" s="31" t="s">
        <v>9</v>
      </c>
      <c r="O58" s="18">
        <f>IF(N58="5",H58,0)</f>
        <v>0</v>
      </c>
      <c r="Z58" s="18">
        <f>IF(AD58=0,I58,0)</f>
        <v>0</v>
      </c>
      <c r="AA58" s="18">
        <f>IF(AD58=15,I58,0)</f>
        <v>0</v>
      </c>
      <c r="AB58" s="18">
        <f>IF(AD58=21,I58,0)</f>
        <v>0</v>
      </c>
      <c r="AD58" s="35">
        <v>21</v>
      </c>
      <c r="AE58" s="35">
        <f>F58*0.6</f>
        <v>0</v>
      </c>
      <c r="AF58" s="35">
        <f>F58*(1-0.6)</f>
        <v>0</v>
      </c>
      <c r="AM58" s="35">
        <f>E58*AE58</f>
        <v>0</v>
      </c>
      <c r="AN58" s="35">
        <f>E58*AF58</f>
        <v>0</v>
      </c>
      <c r="AO58" s="36" t="s">
        <v>491</v>
      </c>
      <c r="AP58" s="36" t="s">
        <v>513</v>
      </c>
      <c r="AQ58" s="28" t="s">
        <v>521</v>
      </c>
    </row>
    <row r="59" spans="3:5" ht="12.75">
      <c r="C59" s="53" t="s">
        <v>7</v>
      </c>
      <c r="E59" s="19">
        <v>1</v>
      </c>
    </row>
    <row r="60" spans="1:43" ht="25.5">
      <c r="A60" s="4" t="s">
        <v>26</v>
      </c>
      <c r="B60" s="4" t="s">
        <v>129</v>
      </c>
      <c r="C60" s="52" t="s">
        <v>267</v>
      </c>
      <c r="D60" s="4" t="s">
        <v>446</v>
      </c>
      <c r="E60" s="18">
        <v>1</v>
      </c>
      <c r="F60" s="60">
        <v>0</v>
      </c>
      <c r="G60" s="18">
        <f>E60*AE60</f>
        <v>0</v>
      </c>
      <c r="H60" s="18">
        <f>I60-G60</f>
        <v>0</v>
      </c>
      <c r="I60" s="18">
        <f>E60*F60</f>
        <v>0</v>
      </c>
      <c r="J60" s="18">
        <v>0</v>
      </c>
      <c r="K60" s="18">
        <f>E60*J60</f>
        <v>0</v>
      </c>
      <c r="L60" s="31" t="s">
        <v>472</v>
      </c>
      <c r="N60" s="31" t="s">
        <v>9</v>
      </c>
      <c r="O60" s="18">
        <f>IF(N60="5",H60,0)</f>
        <v>0</v>
      </c>
      <c r="Z60" s="18">
        <f>IF(AD60=0,I60,0)</f>
        <v>0</v>
      </c>
      <c r="AA60" s="18">
        <f>IF(AD60=15,I60,0)</f>
        <v>0</v>
      </c>
      <c r="AB60" s="18">
        <f>IF(AD60=21,I60,0)</f>
        <v>0</v>
      </c>
      <c r="AD60" s="35">
        <v>21</v>
      </c>
      <c r="AE60" s="35">
        <f>F60*0.6</f>
        <v>0</v>
      </c>
      <c r="AF60" s="35">
        <f>F60*(1-0.6)</f>
        <v>0</v>
      </c>
      <c r="AM60" s="35">
        <f>E60*AE60</f>
        <v>0</v>
      </c>
      <c r="AN60" s="35">
        <f>E60*AF60</f>
        <v>0</v>
      </c>
      <c r="AO60" s="36" t="s">
        <v>491</v>
      </c>
      <c r="AP60" s="36" t="s">
        <v>513</v>
      </c>
      <c r="AQ60" s="28" t="s">
        <v>521</v>
      </c>
    </row>
    <row r="61" spans="3:5" ht="12.75">
      <c r="C61" s="53" t="s">
        <v>7</v>
      </c>
      <c r="E61" s="19">
        <v>1</v>
      </c>
    </row>
    <row r="62" spans="1:43" ht="25.5">
      <c r="A62" s="4" t="s">
        <v>27</v>
      </c>
      <c r="B62" s="4" t="s">
        <v>130</v>
      </c>
      <c r="C62" s="52" t="s">
        <v>268</v>
      </c>
      <c r="D62" s="4" t="s">
        <v>446</v>
      </c>
      <c r="E62" s="18">
        <v>1</v>
      </c>
      <c r="F62" s="60">
        <v>0</v>
      </c>
      <c r="G62" s="18">
        <f>E62*AE62</f>
        <v>0</v>
      </c>
      <c r="H62" s="18">
        <f>I62-G62</f>
        <v>0</v>
      </c>
      <c r="I62" s="18">
        <f>E62*F62</f>
        <v>0</v>
      </c>
      <c r="J62" s="18">
        <v>0</v>
      </c>
      <c r="K62" s="18">
        <f>E62*J62</f>
        <v>0</v>
      </c>
      <c r="L62" s="31" t="s">
        <v>472</v>
      </c>
      <c r="N62" s="31" t="s">
        <v>7</v>
      </c>
      <c r="O62" s="18">
        <f>IF(N62="5",H62,0)</f>
        <v>0</v>
      </c>
      <c r="Z62" s="18">
        <f>IF(AD62=0,I62,0)</f>
        <v>0</v>
      </c>
      <c r="AA62" s="18">
        <f>IF(AD62=15,I62,0)</f>
        <v>0</v>
      </c>
      <c r="AB62" s="18">
        <f>IF(AD62=21,I62,0)</f>
        <v>0</v>
      </c>
      <c r="AD62" s="35">
        <v>21</v>
      </c>
      <c r="AE62" s="35">
        <f>F62*0.6</f>
        <v>0</v>
      </c>
      <c r="AF62" s="35">
        <f>F62*(1-0.6)</f>
        <v>0</v>
      </c>
      <c r="AM62" s="35">
        <f>E62*AE62</f>
        <v>0</v>
      </c>
      <c r="AN62" s="35">
        <f>E62*AF62</f>
        <v>0</v>
      </c>
      <c r="AO62" s="36" t="s">
        <v>491</v>
      </c>
      <c r="AP62" s="36" t="s">
        <v>513</v>
      </c>
      <c r="AQ62" s="28" t="s">
        <v>521</v>
      </c>
    </row>
    <row r="63" spans="3:5" ht="12.75">
      <c r="C63" s="53" t="s">
        <v>7</v>
      </c>
      <c r="E63" s="19">
        <v>1</v>
      </c>
    </row>
    <row r="64" spans="1:43" ht="25.5">
      <c r="A64" s="4" t="s">
        <v>28</v>
      </c>
      <c r="B64" s="4" t="s">
        <v>131</v>
      </c>
      <c r="C64" s="52" t="s">
        <v>269</v>
      </c>
      <c r="D64" s="4" t="s">
        <v>446</v>
      </c>
      <c r="E64" s="18">
        <v>1</v>
      </c>
      <c r="F64" s="60">
        <v>0</v>
      </c>
      <c r="G64" s="18">
        <f>E64*AE64</f>
        <v>0</v>
      </c>
      <c r="H64" s="18">
        <f>I64-G64</f>
        <v>0</v>
      </c>
      <c r="I64" s="18">
        <f>E64*F64</f>
        <v>0</v>
      </c>
      <c r="J64" s="18">
        <v>0</v>
      </c>
      <c r="K64" s="18">
        <f>E64*J64</f>
        <v>0</v>
      </c>
      <c r="L64" s="31" t="s">
        <v>472</v>
      </c>
      <c r="N64" s="31" t="s">
        <v>7</v>
      </c>
      <c r="O64" s="18">
        <f>IF(N64="5",H64,0)</f>
        <v>0</v>
      </c>
      <c r="Z64" s="18">
        <f>IF(AD64=0,I64,0)</f>
        <v>0</v>
      </c>
      <c r="AA64" s="18">
        <f>IF(AD64=15,I64,0)</f>
        <v>0</v>
      </c>
      <c r="AB64" s="18">
        <f>IF(AD64=21,I64,0)</f>
        <v>0</v>
      </c>
      <c r="AD64" s="35">
        <v>21</v>
      </c>
      <c r="AE64" s="35">
        <f>F64*0.6</f>
        <v>0</v>
      </c>
      <c r="AF64" s="35">
        <f>F64*(1-0.6)</f>
        <v>0</v>
      </c>
      <c r="AM64" s="35">
        <f>E64*AE64</f>
        <v>0</v>
      </c>
      <c r="AN64" s="35">
        <f>E64*AF64</f>
        <v>0</v>
      </c>
      <c r="AO64" s="36" t="s">
        <v>491</v>
      </c>
      <c r="AP64" s="36" t="s">
        <v>513</v>
      </c>
      <c r="AQ64" s="28" t="s">
        <v>521</v>
      </c>
    </row>
    <row r="65" spans="3:5" ht="12.75">
      <c r="C65" s="53" t="s">
        <v>7</v>
      </c>
      <c r="E65" s="19">
        <v>1</v>
      </c>
    </row>
    <row r="66" spans="1:43" ht="25.5">
      <c r="A66" s="4" t="s">
        <v>29</v>
      </c>
      <c r="B66" s="4" t="s">
        <v>132</v>
      </c>
      <c r="C66" s="52" t="s">
        <v>270</v>
      </c>
      <c r="D66" s="4" t="s">
        <v>446</v>
      </c>
      <c r="E66" s="18">
        <v>1</v>
      </c>
      <c r="F66" s="60">
        <v>0</v>
      </c>
      <c r="G66" s="18">
        <f>E66*AE66</f>
        <v>0</v>
      </c>
      <c r="H66" s="18">
        <f>I66-G66</f>
        <v>0</v>
      </c>
      <c r="I66" s="18">
        <f>E66*F66</f>
        <v>0</v>
      </c>
      <c r="J66" s="18">
        <v>0</v>
      </c>
      <c r="K66" s="18">
        <f>E66*J66</f>
        <v>0</v>
      </c>
      <c r="L66" s="31" t="s">
        <v>472</v>
      </c>
      <c r="N66" s="31" t="s">
        <v>7</v>
      </c>
      <c r="O66" s="18">
        <f>IF(N66="5",H66,0)</f>
        <v>0</v>
      </c>
      <c r="Z66" s="18">
        <f>IF(AD66=0,I66,0)</f>
        <v>0</v>
      </c>
      <c r="AA66" s="18">
        <f>IF(AD66=15,I66,0)</f>
        <v>0</v>
      </c>
      <c r="AB66" s="18">
        <f>IF(AD66=21,I66,0)</f>
        <v>0</v>
      </c>
      <c r="AD66" s="35">
        <v>21</v>
      </c>
      <c r="AE66" s="35">
        <f>F66*0.6</f>
        <v>0</v>
      </c>
      <c r="AF66" s="35">
        <f>F66*(1-0.6)</f>
        <v>0</v>
      </c>
      <c r="AM66" s="35">
        <f>E66*AE66</f>
        <v>0</v>
      </c>
      <c r="AN66" s="35">
        <f>E66*AF66</f>
        <v>0</v>
      </c>
      <c r="AO66" s="36" t="s">
        <v>491</v>
      </c>
      <c r="AP66" s="36" t="s">
        <v>513</v>
      </c>
      <c r="AQ66" s="28" t="s">
        <v>521</v>
      </c>
    </row>
    <row r="67" spans="3:5" ht="12.75">
      <c r="C67" s="53" t="s">
        <v>7</v>
      </c>
      <c r="E67" s="19">
        <v>1</v>
      </c>
    </row>
    <row r="68" spans="1:43" ht="25.5">
      <c r="A68" s="4" t="s">
        <v>30</v>
      </c>
      <c r="B68" s="4" t="s">
        <v>133</v>
      </c>
      <c r="C68" s="52" t="s">
        <v>271</v>
      </c>
      <c r="D68" s="4" t="s">
        <v>446</v>
      </c>
      <c r="E68" s="18">
        <v>1</v>
      </c>
      <c r="F68" s="60">
        <v>0</v>
      </c>
      <c r="G68" s="18">
        <f>E68*AE68</f>
        <v>0</v>
      </c>
      <c r="H68" s="18">
        <f>I68-G68</f>
        <v>0</v>
      </c>
      <c r="I68" s="18">
        <f>E68*F68</f>
        <v>0</v>
      </c>
      <c r="J68" s="18">
        <v>0</v>
      </c>
      <c r="K68" s="18">
        <f>E68*J68</f>
        <v>0</v>
      </c>
      <c r="L68" s="31" t="s">
        <v>472</v>
      </c>
      <c r="N68" s="31" t="s">
        <v>7</v>
      </c>
      <c r="O68" s="18">
        <f>IF(N68="5",H68,0)</f>
        <v>0</v>
      </c>
      <c r="Z68" s="18">
        <f>IF(AD68=0,I68,0)</f>
        <v>0</v>
      </c>
      <c r="AA68" s="18">
        <f>IF(AD68=15,I68,0)</f>
        <v>0</v>
      </c>
      <c r="AB68" s="18">
        <f>IF(AD68=21,I68,0)</f>
        <v>0</v>
      </c>
      <c r="AD68" s="35">
        <v>21</v>
      </c>
      <c r="AE68" s="35">
        <f>F68*0</f>
        <v>0</v>
      </c>
      <c r="AF68" s="35">
        <f>F68*(1-0)</f>
        <v>0</v>
      </c>
      <c r="AM68" s="35">
        <f>E68*AE68</f>
        <v>0</v>
      </c>
      <c r="AN68" s="35">
        <f>E68*AF68</f>
        <v>0</v>
      </c>
      <c r="AO68" s="36" t="s">
        <v>491</v>
      </c>
      <c r="AP68" s="36" t="s">
        <v>513</v>
      </c>
      <c r="AQ68" s="28" t="s">
        <v>521</v>
      </c>
    </row>
    <row r="69" spans="3:5" ht="12.75">
      <c r="C69" s="53" t="s">
        <v>7</v>
      </c>
      <c r="E69" s="19">
        <v>1</v>
      </c>
    </row>
    <row r="70" spans="1:43" ht="25.5">
      <c r="A70" s="6" t="s">
        <v>31</v>
      </c>
      <c r="B70" s="6" t="s">
        <v>134</v>
      </c>
      <c r="C70" s="54" t="s">
        <v>272</v>
      </c>
      <c r="D70" s="6" t="s">
        <v>446</v>
      </c>
      <c r="E70" s="20">
        <v>1</v>
      </c>
      <c r="F70" s="60">
        <v>0</v>
      </c>
      <c r="G70" s="20">
        <f>E70*AE70</f>
        <v>0</v>
      </c>
      <c r="H70" s="20">
        <f>I70-G70</f>
        <v>0</v>
      </c>
      <c r="I70" s="20">
        <f>E70*F70</f>
        <v>0</v>
      </c>
      <c r="J70" s="20">
        <v>0</v>
      </c>
      <c r="K70" s="20">
        <f>E70*J70</f>
        <v>0</v>
      </c>
      <c r="L70" s="32" t="s">
        <v>472</v>
      </c>
      <c r="N70" s="32" t="s">
        <v>473</v>
      </c>
      <c r="O70" s="20">
        <f>IF(N70="5",H70,0)</f>
        <v>0</v>
      </c>
      <c r="Z70" s="20">
        <f>IF(AD70=0,I70,0)</f>
        <v>0</v>
      </c>
      <c r="AA70" s="20">
        <f>IF(AD70=15,I70,0)</f>
        <v>0</v>
      </c>
      <c r="AB70" s="20">
        <f>IF(AD70=21,I70,0)</f>
        <v>0</v>
      </c>
      <c r="AD70" s="35">
        <v>21</v>
      </c>
      <c r="AE70" s="35">
        <f>F70*1</f>
        <v>0</v>
      </c>
      <c r="AF70" s="35">
        <f>F70*(1-1)</f>
        <v>0</v>
      </c>
      <c r="AM70" s="35">
        <f>E70*AE70</f>
        <v>0</v>
      </c>
      <c r="AN70" s="35">
        <f>E70*AF70</f>
        <v>0</v>
      </c>
      <c r="AO70" s="36" t="s">
        <v>491</v>
      </c>
      <c r="AP70" s="36" t="s">
        <v>513</v>
      </c>
      <c r="AQ70" s="28" t="s">
        <v>521</v>
      </c>
    </row>
    <row r="71" spans="3:5" ht="12.75">
      <c r="C71" s="15" t="s">
        <v>7</v>
      </c>
      <c r="E71" s="19">
        <v>1</v>
      </c>
    </row>
    <row r="72" spans="1:37" ht="12.75">
      <c r="A72" s="5"/>
      <c r="B72" s="13" t="s">
        <v>135</v>
      </c>
      <c r="C72" s="120" t="s">
        <v>273</v>
      </c>
      <c r="D72" s="121"/>
      <c r="E72" s="121"/>
      <c r="F72" s="121"/>
      <c r="G72" s="38">
        <f>SUM(G73:G86)</f>
        <v>0</v>
      </c>
      <c r="H72" s="38">
        <f>SUM(H73:H86)</f>
        <v>0</v>
      </c>
      <c r="I72" s="38">
        <f>G72+H72</f>
        <v>0</v>
      </c>
      <c r="J72" s="28"/>
      <c r="K72" s="38">
        <f>SUM(K73:K86)</f>
        <v>0.3668287</v>
      </c>
      <c r="L72" s="28"/>
      <c r="P72" s="38">
        <f>IF(Q72="PR",I72,SUM(O73:O86))</f>
        <v>0</v>
      </c>
      <c r="Q72" s="28" t="s">
        <v>477</v>
      </c>
      <c r="R72" s="38">
        <f>IF(Q72="HS",G72,0)</f>
        <v>0</v>
      </c>
      <c r="S72" s="38">
        <f>IF(Q72="HS",H72-P72,0)</f>
        <v>0</v>
      </c>
      <c r="T72" s="38">
        <f>IF(Q72="PS",G72,0)</f>
        <v>0</v>
      </c>
      <c r="U72" s="38">
        <f>IF(Q72="PS",H72-P72,0)</f>
        <v>0</v>
      </c>
      <c r="V72" s="38">
        <f>IF(Q72="MP",G72,0)</f>
        <v>0</v>
      </c>
      <c r="W72" s="38">
        <f>IF(Q72="MP",H72-P72,0)</f>
        <v>0</v>
      </c>
      <c r="X72" s="38">
        <f>IF(Q72="OM",G72,0)</f>
        <v>0</v>
      </c>
      <c r="Y72" s="28"/>
      <c r="AI72" s="38">
        <f>SUM(Z73:Z86)</f>
        <v>0</v>
      </c>
      <c r="AJ72" s="38">
        <f>SUM(AA73:AA86)</f>
        <v>0</v>
      </c>
      <c r="AK72" s="38">
        <f>SUM(AB73:AB86)</f>
        <v>0</v>
      </c>
    </row>
    <row r="73" spans="1:43" ht="12.75">
      <c r="A73" s="4" t="s">
        <v>32</v>
      </c>
      <c r="B73" s="4" t="s">
        <v>136</v>
      </c>
      <c r="C73" s="4" t="s">
        <v>274</v>
      </c>
      <c r="D73" s="4" t="s">
        <v>447</v>
      </c>
      <c r="E73" s="18">
        <v>105.43</v>
      </c>
      <c r="F73" s="60">
        <v>0</v>
      </c>
      <c r="G73" s="18">
        <f>E73*AE73</f>
        <v>0</v>
      </c>
      <c r="H73" s="18">
        <f>I73-G73</f>
        <v>0</v>
      </c>
      <c r="I73" s="18">
        <f>E73*F73</f>
        <v>0</v>
      </c>
      <c r="J73" s="18">
        <v>0.00021</v>
      </c>
      <c r="K73" s="18">
        <f>E73*J73</f>
        <v>0.0221403</v>
      </c>
      <c r="L73" s="31" t="s">
        <v>471</v>
      </c>
      <c r="N73" s="31" t="s">
        <v>7</v>
      </c>
      <c r="O73" s="18">
        <f>IF(N73="5",H73,0)</f>
        <v>0</v>
      </c>
      <c r="Z73" s="18">
        <f>IF(AD73=0,I73,0)</f>
        <v>0</v>
      </c>
      <c r="AA73" s="18">
        <f>IF(AD73=15,I73,0)</f>
        <v>0</v>
      </c>
      <c r="AB73" s="18">
        <f>IF(AD73=21,I73,0)</f>
        <v>0</v>
      </c>
      <c r="AD73" s="35">
        <v>21</v>
      </c>
      <c r="AE73" s="35">
        <f>F73*0.315458937198068</f>
        <v>0</v>
      </c>
      <c r="AF73" s="35">
        <f>F73*(1-0.315458937198068)</f>
        <v>0</v>
      </c>
      <c r="AM73" s="35">
        <f>E73*AE73</f>
        <v>0</v>
      </c>
      <c r="AN73" s="35">
        <f>E73*AF73</f>
        <v>0</v>
      </c>
      <c r="AO73" s="36" t="s">
        <v>492</v>
      </c>
      <c r="AP73" s="36" t="s">
        <v>514</v>
      </c>
      <c r="AQ73" s="28" t="s">
        <v>521</v>
      </c>
    </row>
    <row r="74" spans="3:5" ht="12.75">
      <c r="C74" s="15" t="s">
        <v>275</v>
      </c>
      <c r="E74" s="19">
        <v>70.83</v>
      </c>
    </row>
    <row r="75" spans="3:5" ht="12.75">
      <c r="C75" s="15" t="s">
        <v>276</v>
      </c>
      <c r="E75" s="19">
        <v>11.61</v>
      </c>
    </row>
    <row r="76" spans="3:5" ht="12.75">
      <c r="C76" s="15" t="s">
        <v>277</v>
      </c>
      <c r="E76" s="19">
        <v>22.99</v>
      </c>
    </row>
    <row r="77" spans="1:43" ht="12.75">
      <c r="A77" s="4" t="s">
        <v>33</v>
      </c>
      <c r="B77" s="4" t="s">
        <v>137</v>
      </c>
      <c r="C77" s="4" t="s">
        <v>278</v>
      </c>
      <c r="D77" s="4" t="s">
        <v>448</v>
      </c>
      <c r="E77" s="18">
        <v>85.62</v>
      </c>
      <c r="F77" s="60">
        <v>0</v>
      </c>
      <c r="G77" s="18">
        <f>E77*AE77</f>
        <v>0</v>
      </c>
      <c r="H77" s="18">
        <f>I77-G77</f>
        <v>0</v>
      </c>
      <c r="I77" s="18">
        <f>E77*F77</f>
        <v>0</v>
      </c>
      <c r="J77" s="18">
        <v>0.00032</v>
      </c>
      <c r="K77" s="18">
        <f>E77*J77</f>
        <v>0.027398400000000003</v>
      </c>
      <c r="L77" s="31" t="s">
        <v>471</v>
      </c>
      <c r="N77" s="31" t="s">
        <v>7</v>
      </c>
      <c r="O77" s="18">
        <f>IF(N77="5",H77,0)</f>
        <v>0</v>
      </c>
      <c r="Z77" s="18">
        <f>IF(AD77=0,I77,0)</f>
        <v>0</v>
      </c>
      <c r="AA77" s="18">
        <f>IF(AD77=15,I77,0)</f>
        <v>0</v>
      </c>
      <c r="AB77" s="18">
        <f>IF(AD77=21,I77,0)</f>
        <v>0</v>
      </c>
      <c r="AD77" s="35">
        <v>21</v>
      </c>
      <c r="AE77" s="35">
        <f>F77*0.771373801916933</f>
        <v>0</v>
      </c>
      <c r="AF77" s="35">
        <f>F77*(1-0.771373801916933)</f>
        <v>0</v>
      </c>
      <c r="AM77" s="35">
        <f>E77*AE77</f>
        <v>0</v>
      </c>
      <c r="AN77" s="35">
        <f>E77*AF77</f>
        <v>0</v>
      </c>
      <c r="AO77" s="36" t="s">
        <v>492</v>
      </c>
      <c r="AP77" s="36" t="s">
        <v>514</v>
      </c>
      <c r="AQ77" s="28" t="s">
        <v>521</v>
      </c>
    </row>
    <row r="78" spans="3:5" ht="12.75">
      <c r="C78" s="15" t="s">
        <v>279</v>
      </c>
      <c r="E78" s="19">
        <v>77.41</v>
      </c>
    </row>
    <row r="79" spans="3:5" ht="12.75">
      <c r="C79" s="15" t="s">
        <v>280</v>
      </c>
      <c r="E79" s="19">
        <v>8.21</v>
      </c>
    </row>
    <row r="80" spans="1:43" ht="12.75">
      <c r="A80" s="6" t="s">
        <v>34</v>
      </c>
      <c r="B80" s="6" t="s">
        <v>138</v>
      </c>
      <c r="C80" s="6" t="s">
        <v>281</v>
      </c>
      <c r="D80" s="6" t="s">
        <v>446</v>
      </c>
      <c r="E80" s="20">
        <v>2</v>
      </c>
      <c r="F80" s="60">
        <v>0</v>
      </c>
      <c r="G80" s="20">
        <f>E80*AE80</f>
        <v>0</v>
      </c>
      <c r="H80" s="20">
        <f>I80-G80</f>
        <v>0</v>
      </c>
      <c r="I80" s="20">
        <f>E80*F80</f>
        <v>0</v>
      </c>
      <c r="J80" s="20">
        <v>0.0005</v>
      </c>
      <c r="K80" s="20">
        <f>E80*J80</f>
        <v>0.001</v>
      </c>
      <c r="L80" s="32" t="s">
        <v>471</v>
      </c>
      <c r="N80" s="32" t="s">
        <v>473</v>
      </c>
      <c r="O80" s="20">
        <f>IF(N80="5",H80,0)</f>
        <v>0</v>
      </c>
      <c r="Z80" s="20">
        <f>IF(AD80=0,I80,0)</f>
        <v>0</v>
      </c>
      <c r="AA80" s="20">
        <f>IF(AD80=15,I80,0)</f>
        <v>0</v>
      </c>
      <c r="AB80" s="20">
        <f>IF(AD80=21,I80,0)</f>
        <v>0</v>
      </c>
      <c r="AD80" s="35">
        <v>21</v>
      </c>
      <c r="AE80" s="35">
        <f>F80*1</f>
        <v>0</v>
      </c>
      <c r="AF80" s="35">
        <f>F80*(1-1)</f>
        <v>0</v>
      </c>
      <c r="AM80" s="35">
        <f>E80*AE80</f>
        <v>0</v>
      </c>
      <c r="AN80" s="35">
        <f>E80*AF80</f>
        <v>0</v>
      </c>
      <c r="AO80" s="36" t="s">
        <v>492</v>
      </c>
      <c r="AP80" s="36" t="s">
        <v>514</v>
      </c>
      <c r="AQ80" s="28" t="s">
        <v>521</v>
      </c>
    </row>
    <row r="81" spans="3:5" ht="12.75">
      <c r="C81" s="15" t="s">
        <v>8</v>
      </c>
      <c r="E81" s="19">
        <v>2</v>
      </c>
    </row>
    <row r="82" spans="1:43" ht="12.75">
      <c r="A82" s="4" t="s">
        <v>35</v>
      </c>
      <c r="B82" s="4" t="s">
        <v>139</v>
      </c>
      <c r="C82" s="4" t="s">
        <v>282</v>
      </c>
      <c r="D82" s="4" t="s">
        <v>447</v>
      </c>
      <c r="E82" s="18">
        <v>105.43</v>
      </c>
      <c r="F82" s="60">
        <v>0</v>
      </c>
      <c r="G82" s="18">
        <f>E82*AE82</f>
        <v>0</v>
      </c>
      <c r="H82" s="18">
        <f>I82-G82</f>
        <v>0</v>
      </c>
      <c r="I82" s="18">
        <f>E82*F82</f>
        <v>0</v>
      </c>
      <c r="J82" s="18">
        <v>0</v>
      </c>
      <c r="K82" s="18">
        <f>E82*J82</f>
        <v>0</v>
      </c>
      <c r="L82" s="31" t="s">
        <v>471</v>
      </c>
      <c r="N82" s="31" t="s">
        <v>7</v>
      </c>
      <c r="O82" s="18">
        <f>IF(N82="5",H82,0)</f>
        <v>0</v>
      </c>
      <c r="Z82" s="18">
        <f>IF(AD82=0,I82,0)</f>
        <v>0</v>
      </c>
      <c r="AA82" s="18">
        <f>IF(AD82=15,I82,0)</f>
        <v>0</v>
      </c>
      <c r="AB82" s="18">
        <f>IF(AD82=21,I82,0)</f>
        <v>0</v>
      </c>
      <c r="AD82" s="35">
        <v>21</v>
      </c>
      <c r="AE82" s="35">
        <f>F82*0</f>
        <v>0</v>
      </c>
      <c r="AF82" s="35">
        <f>F82*(1-0)</f>
        <v>0</v>
      </c>
      <c r="AM82" s="35">
        <f>E82*AE82</f>
        <v>0</v>
      </c>
      <c r="AN82" s="35">
        <f>E82*AF82</f>
        <v>0</v>
      </c>
      <c r="AO82" s="36" t="s">
        <v>492</v>
      </c>
      <c r="AP82" s="36" t="s">
        <v>514</v>
      </c>
      <c r="AQ82" s="28" t="s">
        <v>521</v>
      </c>
    </row>
    <row r="83" spans="3:5" ht="12.75">
      <c r="C83" s="15" t="s">
        <v>275</v>
      </c>
      <c r="E83" s="19">
        <v>70.83</v>
      </c>
    </row>
    <row r="84" spans="3:5" ht="12.75">
      <c r="C84" s="15" t="s">
        <v>276</v>
      </c>
      <c r="E84" s="19">
        <v>11.61</v>
      </c>
    </row>
    <row r="85" spans="3:5" ht="12.75">
      <c r="C85" s="15" t="s">
        <v>277</v>
      </c>
      <c r="E85" s="19">
        <v>22.99</v>
      </c>
    </row>
    <row r="86" spans="1:43" ht="25.5">
      <c r="A86" s="6" t="s">
        <v>36</v>
      </c>
      <c r="B86" s="6" t="s">
        <v>140</v>
      </c>
      <c r="C86" s="54" t="s">
        <v>283</v>
      </c>
      <c r="D86" s="6" t="s">
        <v>450</v>
      </c>
      <c r="E86" s="20">
        <v>316.29</v>
      </c>
      <c r="F86" s="60">
        <v>0</v>
      </c>
      <c r="G86" s="20">
        <f>E86*AE86</f>
        <v>0</v>
      </c>
      <c r="H86" s="20">
        <f>I86-G86</f>
        <v>0</v>
      </c>
      <c r="I86" s="20">
        <f>E86*F86</f>
        <v>0</v>
      </c>
      <c r="J86" s="20">
        <v>0.001</v>
      </c>
      <c r="K86" s="20">
        <f>E86*J86</f>
        <v>0.31629</v>
      </c>
      <c r="L86" s="32" t="s">
        <v>471</v>
      </c>
      <c r="N86" s="32" t="s">
        <v>473</v>
      </c>
      <c r="O86" s="20">
        <f>IF(N86="5",H86,0)</f>
        <v>0</v>
      </c>
      <c r="Z86" s="20">
        <f>IF(AD86=0,I86,0)</f>
        <v>0</v>
      </c>
      <c r="AA86" s="20">
        <f>IF(AD86=15,I86,0)</f>
        <v>0</v>
      </c>
      <c r="AB86" s="20">
        <f>IF(AD86=21,I86,0)</f>
        <v>0</v>
      </c>
      <c r="AD86" s="35">
        <v>21</v>
      </c>
      <c r="AE86" s="35">
        <f>F86*1</f>
        <v>0</v>
      </c>
      <c r="AF86" s="35">
        <f>F86*(1-1)</f>
        <v>0</v>
      </c>
      <c r="AM86" s="35">
        <f>E86*AE86</f>
        <v>0</v>
      </c>
      <c r="AN86" s="35">
        <f>E86*AF86</f>
        <v>0</v>
      </c>
      <c r="AO86" s="36" t="s">
        <v>492</v>
      </c>
      <c r="AP86" s="36" t="s">
        <v>514</v>
      </c>
      <c r="AQ86" s="28" t="s">
        <v>521</v>
      </c>
    </row>
    <row r="87" spans="3:5" ht="12.75">
      <c r="C87" s="15" t="s">
        <v>284</v>
      </c>
      <c r="E87" s="19">
        <v>316.29</v>
      </c>
    </row>
    <row r="88" spans="1:37" ht="12.75">
      <c r="A88" s="5"/>
      <c r="B88" s="13" t="s">
        <v>141</v>
      </c>
      <c r="C88" s="120" t="s">
        <v>285</v>
      </c>
      <c r="D88" s="121"/>
      <c r="E88" s="121"/>
      <c r="F88" s="121"/>
      <c r="G88" s="38">
        <f>SUM(G89:G91)</f>
        <v>0</v>
      </c>
      <c r="H88" s="38">
        <f>SUM(H89:H91)</f>
        <v>0</v>
      </c>
      <c r="I88" s="38">
        <f>G88+H88</f>
        <v>0</v>
      </c>
      <c r="J88" s="28"/>
      <c r="K88" s="38">
        <f>SUM(K89:K91)</f>
        <v>0.0182206</v>
      </c>
      <c r="L88" s="28"/>
      <c r="P88" s="38">
        <f>IF(Q88="PR",I88,SUM(O89:O91))</f>
        <v>0</v>
      </c>
      <c r="Q88" s="28" t="s">
        <v>477</v>
      </c>
      <c r="R88" s="38">
        <f>IF(Q88="HS",G88,0)</f>
        <v>0</v>
      </c>
      <c r="S88" s="38">
        <f>IF(Q88="HS",H88-P88,0)</f>
        <v>0</v>
      </c>
      <c r="T88" s="38">
        <f>IF(Q88="PS",G88,0)</f>
        <v>0</v>
      </c>
      <c r="U88" s="38">
        <f>IF(Q88="PS",H88-P88,0)</f>
        <v>0</v>
      </c>
      <c r="V88" s="38">
        <f>IF(Q88="MP",G88,0)</f>
        <v>0</v>
      </c>
      <c r="W88" s="38">
        <f>IF(Q88="MP",H88-P88,0)</f>
        <v>0</v>
      </c>
      <c r="X88" s="38">
        <f>IF(Q88="OM",G88,0)</f>
        <v>0</v>
      </c>
      <c r="Y88" s="28"/>
      <c r="AI88" s="38">
        <f>SUM(Z89:Z91)</f>
        <v>0</v>
      </c>
      <c r="AJ88" s="38">
        <f>SUM(AA89:AA91)</f>
        <v>0</v>
      </c>
      <c r="AK88" s="38">
        <f>SUM(AB89:AB91)</f>
        <v>0</v>
      </c>
    </row>
    <row r="89" spans="1:43" ht="12.75">
      <c r="A89" s="4" t="s">
        <v>37</v>
      </c>
      <c r="B89" s="4" t="s">
        <v>142</v>
      </c>
      <c r="C89" s="4" t="s">
        <v>286</v>
      </c>
      <c r="D89" s="4" t="s">
        <v>447</v>
      </c>
      <c r="E89" s="18">
        <v>4.66</v>
      </c>
      <c r="F89" s="60">
        <v>0</v>
      </c>
      <c r="G89" s="18">
        <f>E89*AE89</f>
        <v>0</v>
      </c>
      <c r="H89" s="18">
        <f>I89-G89</f>
        <v>0</v>
      </c>
      <c r="I89" s="18">
        <f>E89*F89</f>
        <v>0</v>
      </c>
      <c r="J89" s="18">
        <v>0.0022</v>
      </c>
      <c r="K89" s="18">
        <f>E89*J89</f>
        <v>0.010252</v>
      </c>
      <c r="L89" s="31" t="s">
        <v>471</v>
      </c>
      <c r="N89" s="31" t="s">
        <v>7</v>
      </c>
      <c r="O89" s="18">
        <f>IF(N89="5",H89,0)</f>
        <v>0</v>
      </c>
      <c r="Z89" s="18">
        <f>IF(AD89=0,I89,0)</f>
        <v>0</v>
      </c>
      <c r="AA89" s="18">
        <f>IF(AD89=15,I89,0)</f>
        <v>0</v>
      </c>
      <c r="AB89" s="18">
        <f>IF(AD89=21,I89,0)</f>
        <v>0</v>
      </c>
      <c r="AD89" s="35">
        <v>21</v>
      </c>
      <c r="AE89" s="35">
        <f>F89*0</f>
        <v>0</v>
      </c>
      <c r="AF89" s="35">
        <f>F89*(1-0)</f>
        <v>0</v>
      </c>
      <c r="AM89" s="35">
        <f>E89*AE89</f>
        <v>0</v>
      </c>
      <c r="AN89" s="35">
        <f>E89*AF89</f>
        <v>0</v>
      </c>
      <c r="AO89" s="36" t="s">
        <v>493</v>
      </c>
      <c r="AP89" s="36" t="s">
        <v>514</v>
      </c>
      <c r="AQ89" s="28" t="s">
        <v>521</v>
      </c>
    </row>
    <row r="90" spans="3:5" ht="12.75">
      <c r="C90" s="15" t="s">
        <v>287</v>
      </c>
      <c r="E90" s="19">
        <v>4.66</v>
      </c>
    </row>
    <row r="91" spans="1:43" ht="12.75">
      <c r="A91" s="4" t="s">
        <v>38</v>
      </c>
      <c r="B91" s="4" t="s">
        <v>143</v>
      </c>
      <c r="C91" s="4" t="s">
        <v>288</v>
      </c>
      <c r="D91" s="4" t="s">
        <v>447</v>
      </c>
      <c r="E91" s="18">
        <v>4.66</v>
      </c>
      <c r="F91" s="60">
        <v>0</v>
      </c>
      <c r="G91" s="18">
        <f>E91*AE91</f>
        <v>0</v>
      </c>
      <c r="H91" s="18">
        <f>I91-G91</f>
        <v>0</v>
      </c>
      <c r="I91" s="18">
        <f>E91*F91</f>
        <v>0</v>
      </c>
      <c r="J91" s="18">
        <v>0.00171</v>
      </c>
      <c r="K91" s="18">
        <f>E91*J91</f>
        <v>0.0079686</v>
      </c>
      <c r="L91" s="31" t="s">
        <v>471</v>
      </c>
      <c r="N91" s="31" t="s">
        <v>7</v>
      </c>
      <c r="O91" s="18">
        <f>IF(N91="5",H91,0)</f>
        <v>0</v>
      </c>
      <c r="Z91" s="18">
        <f>IF(AD91=0,I91,0)</f>
        <v>0</v>
      </c>
      <c r="AA91" s="18">
        <f>IF(AD91=15,I91,0)</f>
        <v>0</v>
      </c>
      <c r="AB91" s="18">
        <f>IF(AD91=21,I91,0)</f>
        <v>0</v>
      </c>
      <c r="AD91" s="35">
        <v>21</v>
      </c>
      <c r="AE91" s="35">
        <f>F91*0.889763313609467</f>
        <v>0</v>
      </c>
      <c r="AF91" s="35">
        <f>F91*(1-0.889763313609467)</f>
        <v>0</v>
      </c>
      <c r="AM91" s="35">
        <f>E91*AE91</f>
        <v>0</v>
      </c>
      <c r="AN91" s="35">
        <f>E91*AF91</f>
        <v>0</v>
      </c>
      <c r="AO91" s="36" t="s">
        <v>493</v>
      </c>
      <c r="AP91" s="36" t="s">
        <v>514</v>
      </c>
      <c r="AQ91" s="28" t="s">
        <v>521</v>
      </c>
    </row>
    <row r="92" spans="3:5" ht="12.75">
      <c r="C92" s="15" t="s">
        <v>287</v>
      </c>
      <c r="E92" s="19">
        <v>4.66</v>
      </c>
    </row>
    <row r="93" spans="1:37" ht="12.75">
      <c r="A93" s="5"/>
      <c r="B93" s="13" t="s">
        <v>144</v>
      </c>
      <c r="C93" s="120" t="s">
        <v>289</v>
      </c>
      <c r="D93" s="121"/>
      <c r="E93" s="121"/>
      <c r="F93" s="121"/>
      <c r="G93" s="38">
        <f>SUM(G94:G98)</f>
        <v>0</v>
      </c>
      <c r="H93" s="38">
        <f>SUM(H94:H98)</f>
        <v>0</v>
      </c>
      <c r="I93" s="38">
        <f>G93+H93</f>
        <v>0</v>
      </c>
      <c r="J93" s="28"/>
      <c r="K93" s="38">
        <f>SUM(K94:K98)</f>
        <v>0</v>
      </c>
      <c r="L93" s="28"/>
      <c r="P93" s="38">
        <f>IF(Q93="PR",I93,SUM(O94:O98))</f>
        <v>0</v>
      </c>
      <c r="Q93" s="28" t="s">
        <v>477</v>
      </c>
      <c r="R93" s="38">
        <f>IF(Q93="HS",G93,0)</f>
        <v>0</v>
      </c>
      <c r="S93" s="38">
        <f>IF(Q93="HS",H93-P93,0)</f>
        <v>0</v>
      </c>
      <c r="T93" s="38">
        <f>IF(Q93="PS",G93,0)</f>
        <v>0</v>
      </c>
      <c r="U93" s="38">
        <f>IF(Q93="PS",H93-P93,0)</f>
        <v>0</v>
      </c>
      <c r="V93" s="38">
        <f>IF(Q93="MP",G93,0)</f>
        <v>0</v>
      </c>
      <c r="W93" s="38">
        <f>IF(Q93="MP",H93-P93,0)</f>
        <v>0</v>
      </c>
      <c r="X93" s="38">
        <f>IF(Q93="OM",G93,0)</f>
        <v>0</v>
      </c>
      <c r="Y93" s="28"/>
      <c r="AI93" s="38">
        <f>SUM(Z94:Z98)</f>
        <v>0</v>
      </c>
      <c r="AJ93" s="38">
        <f>SUM(AA94:AA98)</f>
        <v>0</v>
      </c>
      <c r="AK93" s="38">
        <f>SUM(AB94:AB98)</f>
        <v>0</v>
      </c>
    </row>
    <row r="94" spans="1:43" ht="12.75">
      <c r="A94" s="4" t="s">
        <v>39</v>
      </c>
      <c r="B94" s="4" t="s">
        <v>145</v>
      </c>
      <c r="C94" s="4" t="s">
        <v>290</v>
      </c>
      <c r="D94" s="4" t="s">
        <v>451</v>
      </c>
      <c r="E94" s="18">
        <v>1</v>
      </c>
      <c r="F94" s="60">
        <v>0</v>
      </c>
      <c r="G94" s="18">
        <f>E94*AE94</f>
        <v>0</v>
      </c>
      <c r="H94" s="18">
        <f>I94-G94</f>
        <v>0</v>
      </c>
      <c r="I94" s="18">
        <f>E94*F94</f>
        <v>0</v>
      </c>
      <c r="J94" s="18">
        <v>0</v>
      </c>
      <c r="K94" s="18">
        <f>E94*J94</f>
        <v>0</v>
      </c>
      <c r="L94" s="31" t="s">
        <v>472</v>
      </c>
      <c r="N94" s="31" t="s">
        <v>7</v>
      </c>
      <c r="O94" s="18">
        <f>IF(N94="5",H94,0)</f>
        <v>0</v>
      </c>
      <c r="Z94" s="18">
        <f>IF(AD94=0,I94,0)</f>
        <v>0</v>
      </c>
      <c r="AA94" s="18">
        <f>IF(AD94=15,I94,0)</f>
        <v>0</v>
      </c>
      <c r="AB94" s="18">
        <f>IF(AD94=21,I94,0)</f>
        <v>0</v>
      </c>
      <c r="AD94" s="35">
        <v>21</v>
      </c>
      <c r="AE94" s="35">
        <f>F94*0</f>
        <v>0</v>
      </c>
      <c r="AF94" s="35">
        <f>F94*(1-0)</f>
        <v>0</v>
      </c>
      <c r="AM94" s="35">
        <f>E94*AE94</f>
        <v>0</v>
      </c>
      <c r="AN94" s="35">
        <f>E94*AF94</f>
        <v>0</v>
      </c>
      <c r="AO94" s="36" t="s">
        <v>494</v>
      </c>
      <c r="AP94" s="36" t="s">
        <v>515</v>
      </c>
      <c r="AQ94" s="28" t="s">
        <v>521</v>
      </c>
    </row>
    <row r="95" spans="3:5" ht="12.75">
      <c r="C95" s="15" t="s">
        <v>7</v>
      </c>
      <c r="E95" s="19">
        <v>1</v>
      </c>
    </row>
    <row r="96" spans="1:43" ht="12.75">
      <c r="A96" s="4" t="s">
        <v>40</v>
      </c>
      <c r="B96" s="4" t="s">
        <v>146</v>
      </c>
      <c r="C96" s="4" t="s">
        <v>291</v>
      </c>
      <c r="D96" s="4" t="s">
        <v>451</v>
      </c>
      <c r="E96" s="18">
        <v>1</v>
      </c>
      <c r="F96" s="60">
        <v>0</v>
      </c>
      <c r="G96" s="18">
        <f>E96*AE96</f>
        <v>0</v>
      </c>
      <c r="H96" s="18">
        <f>I96-G96</f>
        <v>0</v>
      </c>
      <c r="I96" s="18">
        <f>E96*F96</f>
        <v>0</v>
      </c>
      <c r="J96" s="18">
        <v>0</v>
      </c>
      <c r="K96" s="18">
        <f>E96*J96</f>
        <v>0</v>
      </c>
      <c r="L96" s="31" t="s">
        <v>472</v>
      </c>
      <c r="N96" s="31" t="s">
        <v>7</v>
      </c>
      <c r="O96" s="18">
        <f>IF(N96="5",H96,0)</f>
        <v>0</v>
      </c>
      <c r="Z96" s="18">
        <f>IF(AD96=0,I96,0)</f>
        <v>0</v>
      </c>
      <c r="AA96" s="18">
        <f>IF(AD96=15,I96,0)</f>
        <v>0</v>
      </c>
      <c r="AB96" s="18">
        <f>IF(AD96=21,I96,0)</f>
        <v>0</v>
      </c>
      <c r="AD96" s="35">
        <v>21</v>
      </c>
      <c r="AE96" s="35">
        <f>F96*0</f>
        <v>0</v>
      </c>
      <c r="AF96" s="35">
        <f>F96*(1-0)</f>
        <v>0</v>
      </c>
      <c r="AM96" s="35">
        <f>E96*AE96</f>
        <v>0</v>
      </c>
      <c r="AN96" s="35">
        <f>E96*AF96</f>
        <v>0</v>
      </c>
      <c r="AO96" s="36" t="s">
        <v>494</v>
      </c>
      <c r="AP96" s="36" t="s">
        <v>515</v>
      </c>
      <c r="AQ96" s="28" t="s">
        <v>521</v>
      </c>
    </row>
    <row r="97" spans="3:5" ht="12.75">
      <c r="C97" s="15" t="s">
        <v>7</v>
      </c>
      <c r="E97" s="19">
        <v>1</v>
      </c>
    </row>
    <row r="98" spans="1:43" ht="12.75">
      <c r="A98" s="4" t="s">
        <v>41</v>
      </c>
      <c r="B98" s="4" t="s">
        <v>147</v>
      </c>
      <c r="C98" s="4" t="s">
        <v>292</v>
      </c>
      <c r="D98" s="4" t="s">
        <v>451</v>
      </c>
      <c r="E98" s="18">
        <v>1</v>
      </c>
      <c r="F98" s="60">
        <v>0</v>
      </c>
      <c r="G98" s="18">
        <f>E98*AE98</f>
        <v>0</v>
      </c>
      <c r="H98" s="18">
        <f>I98-G98</f>
        <v>0</v>
      </c>
      <c r="I98" s="18">
        <f>E98*F98</f>
        <v>0</v>
      </c>
      <c r="J98" s="18">
        <v>0</v>
      </c>
      <c r="K98" s="18">
        <f>E98*J98</f>
        <v>0</v>
      </c>
      <c r="L98" s="31" t="s">
        <v>472</v>
      </c>
      <c r="N98" s="31" t="s">
        <v>7</v>
      </c>
      <c r="O98" s="18">
        <f>IF(N98="5",H98,0)</f>
        <v>0</v>
      </c>
      <c r="Z98" s="18">
        <f>IF(AD98=0,I98,0)</f>
        <v>0</v>
      </c>
      <c r="AA98" s="18">
        <f>IF(AD98=15,I98,0)</f>
        <v>0</v>
      </c>
      <c r="AB98" s="18">
        <f>IF(AD98=21,I98,0)</f>
        <v>0</v>
      </c>
      <c r="AD98" s="35">
        <v>21</v>
      </c>
      <c r="AE98" s="35">
        <f>F98*0</f>
        <v>0</v>
      </c>
      <c r="AF98" s="35">
        <f>F98*(1-0)</f>
        <v>0</v>
      </c>
      <c r="AM98" s="35">
        <f>E98*AE98</f>
        <v>0</v>
      </c>
      <c r="AN98" s="35">
        <f>E98*AF98</f>
        <v>0</v>
      </c>
      <c r="AO98" s="36" t="s">
        <v>494</v>
      </c>
      <c r="AP98" s="36" t="s">
        <v>515</v>
      </c>
      <c r="AQ98" s="28" t="s">
        <v>521</v>
      </c>
    </row>
    <row r="99" spans="3:5" ht="12.75">
      <c r="C99" s="15" t="s">
        <v>7</v>
      </c>
      <c r="E99" s="19">
        <v>1</v>
      </c>
    </row>
    <row r="100" spans="1:37" ht="12.75">
      <c r="A100" s="5"/>
      <c r="B100" s="13" t="s">
        <v>148</v>
      </c>
      <c r="C100" s="120" t="s">
        <v>293</v>
      </c>
      <c r="D100" s="121"/>
      <c r="E100" s="121"/>
      <c r="F100" s="121"/>
      <c r="G100" s="38">
        <f>SUM(G101:G103)</f>
        <v>0</v>
      </c>
      <c r="H100" s="38">
        <f>SUM(H101:H103)</f>
        <v>0</v>
      </c>
      <c r="I100" s="38">
        <f>G100+H100</f>
        <v>0</v>
      </c>
      <c r="J100" s="28"/>
      <c r="K100" s="38">
        <f>SUM(K101:K103)</f>
        <v>0</v>
      </c>
      <c r="L100" s="28"/>
      <c r="P100" s="38">
        <f>IF(Q100="PR",I100,SUM(O101:O103))</f>
        <v>0</v>
      </c>
      <c r="Q100" s="28" t="s">
        <v>477</v>
      </c>
      <c r="R100" s="38">
        <f>IF(Q100="HS",G100,0)</f>
        <v>0</v>
      </c>
      <c r="S100" s="38">
        <f>IF(Q100="HS",H100-P100,0)</f>
        <v>0</v>
      </c>
      <c r="T100" s="38">
        <f>IF(Q100="PS",G100,0)</f>
        <v>0</v>
      </c>
      <c r="U100" s="38">
        <f>IF(Q100="PS",H100-P100,0)</f>
        <v>0</v>
      </c>
      <c r="V100" s="38">
        <f>IF(Q100="MP",G100,0)</f>
        <v>0</v>
      </c>
      <c r="W100" s="38">
        <f>IF(Q100="MP",H100-P100,0)</f>
        <v>0</v>
      </c>
      <c r="X100" s="38">
        <f>IF(Q100="OM",G100,0)</f>
        <v>0</v>
      </c>
      <c r="Y100" s="28"/>
      <c r="AI100" s="38">
        <f>SUM(Z101:Z103)</f>
        <v>0</v>
      </c>
      <c r="AJ100" s="38">
        <f>SUM(AA101:AA103)</f>
        <v>0</v>
      </c>
      <c r="AK100" s="38">
        <f>SUM(AB101:AB103)</f>
        <v>0</v>
      </c>
    </row>
    <row r="101" spans="1:43" ht="12.75">
      <c r="A101" s="4" t="s">
        <v>42</v>
      </c>
      <c r="B101" s="4" t="s">
        <v>149</v>
      </c>
      <c r="C101" s="4" t="s">
        <v>293</v>
      </c>
      <c r="D101" s="4" t="s">
        <v>451</v>
      </c>
      <c r="E101" s="18">
        <v>1</v>
      </c>
      <c r="F101" s="60">
        <v>0</v>
      </c>
      <c r="G101" s="18">
        <f>E101*AE101</f>
        <v>0</v>
      </c>
      <c r="H101" s="18">
        <f>I101-G101</f>
        <v>0</v>
      </c>
      <c r="I101" s="18">
        <f>E101*F101</f>
        <v>0</v>
      </c>
      <c r="J101" s="18">
        <v>0</v>
      </c>
      <c r="K101" s="18">
        <f>E101*J101</f>
        <v>0</v>
      </c>
      <c r="L101" s="31" t="s">
        <v>472</v>
      </c>
      <c r="N101" s="31" t="s">
        <v>7</v>
      </c>
      <c r="O101" s="18">
        <f>IF(N101="5",H101,0)</f>
        <v>0</v>
      </c>
      <c r="Z101" s="18">
        <f>IF(AD101=0,I101,0)</f>
        <v>0</v>
      </c>
      <c r="AA101" s="18">
        <f>IF(AD101=15,I101,0)</f>
        <v>0</v>
      </c>
      <c r="AB101" s="18">
        <f>IF(AD101=21,I101,0)</f>
        <v>0</v>
      </c>
      <c r="AD101" s="35">
        <v>21</v>
      </c>
      <c r="AE101" s="35">
        <f>F101*0</f>
        <v>0</v>
      </c>
      <c r="AF101" s="35">
        <f>F101*(1-0)</f>
        <v>0</v>
      </c>
      <c r="AM101" s="35">
        <f>E101*AE101</f>
        <v>0</v>
      </c>
      <c r="AN101" s="35">
        <f>E101*AF101</f>
        <v>0</v>
      </c>
      <c r="AO101" s="36" t="s">
        <v>495</v>
      </c>
      <c r="AP101" s="36" t="s">
        <v>515</v>
      </c>
      <c r="AQ101" s="28" t="s">
        <v>521</v>
      </c>
    </row>
    <row r="102" spans="3:5" ht="12.75">
      <c r="C102" s="15" t="s">
        <v>7</v>
      </c>
      <c r="E102" s="19">
        <v>1</v>
      </c>
    </row>
    <row r="103" spans="1:43" ht="12.75">
      <c r="A103" s="4" t="s">
        <v>43</v>
      </c>
      <c r="B103" s="4" t="s">
        <v>150</v>
      </c>
      <c r="C103" s="4" t="s">
        <v>294</v>
      </c>
      <c r="D103" s="4" t="s">
        <v>451</v>
      </c>
      <c r="E103" s="18">
        <v>1</v>
      </c>
      <c r="F103" s="60">
        <v>0</v>
      </c>
      <c r="G103" s="18">
        <f>E103*AE103</f>
        <v>0</v>
      </c>
      <c r="H103" s="18">
        <f>I103-G103</f>
        <v>0</v>
      </c>
      <c r="I103" s="18">
        <f>E103*F103</f>
        <v>0</v>
      </c>
      <c r="J103" s="18">
        <v>0</v>
      </c>
      <c r="K103" s="18">
        <f>E103*J103</f>
        <v>0</v>
      </c>
      <c r="L103" s="31" t="s">
        <v>472</v>
      </c>
      <c r="N103" s="31" t="s">
        <v>7</v>
      </c>
      <c r="O103" s="18">
        <f>IF(N103="5",H103,0)</f>
        <v>0</v>
      </c>
      <c r="Z103" s="18">
        <f>IF(AD103=0,I103,0)</f>
        <v>0</v>
      </c>
      <c r="AA103" s="18">
        <f>IF(AD103=15,I103,0)</f>
        <v>0</v>
      </c>
      <c r="AB103" s="18">
        <f>IF(AD103=21,I103,0)</f>
        <v>0</v>
      </c>
      <c r="AD103" s="35">
        <v>21</v>
      </c>
      <c r="AE103" s="35">
        <f>F103*0</f>
        <v>0</v>
      </c>
      <c r="AF103" s="35">
        <f>F103*(1-0)</f>
        <v>0</v>
      </c>
      <c r="AM103" s="35">
        <f>E103*AE103</f>
        <v>0</v>
      </c>
      <c r="AN103" s="35">
        <f>E103*AF103</f>
        <v>0</v>
      </c>
      <c r="AO103" s="36" t="s">
        <v>495</v>
      </c>
      <c r="AP103" s="36" t="s">
        <v>515</v>
      </c>
      <c r="AQ103" s="28" t="s">
        <v>521</v>
      </c>
    </row>
    <row r="104" spans="3:5" ht="12.75">
      <c r="C104" s="15" t="s">
        <v>7</v>
      </c>
      <c r="E104" s="19">
        <v>1</v>
      </c>
    </row>
    <row r="105" spans="1:37" ht="12.75">
      <c r="A105" s="5"/>
      <c r="B105" s="13" t="s">
        <v>151</v>
      </c>
      <c r="C105" s="120" t="s">
        <v>295</v>
      </c>
      <c r="D105" s="121"/>
      <c r="E105" s="121"/>
      <c r="F105" s="121"/>
      <c r="G105" s="38">
        <f>SUM(G106:G108)</f>
        <v>0</v>
      </c>
      <c r="H105" s="38">
        <f>SUM(H106:H108)</f>
        <v>0</v>
      </c>
      <c r="I105" s="38">
        <f>G105+H105</f>
        <v>0</v>
      </c>
      <c r="J105" s="28"/>
      <c r="K105" s="38">
        <f>SUM(K106:K108)</f>
        <v>0</v>
      </c>
      <c r="L105" s="28"/>
      <c r="P105" s="38">
        <f>IF(Q105="PR",I105,SUM(O106:O108))</f>
        <v>0</v>
      </c>
      <c r="Q105" s="28" t="s">
        <v>477</v>
      </c>
      <c r="R105" s="38">
        <f>IF(Q105="HS",G105,0)</f>
        <v>0</v>
      </c>
      <c r="S105" s="38">
        <f>IF(Q105="HS",H105-P105,0)</f>
        <v>0</v>
      </c>
      <c r="T105" s="38">
        <f>IF(Q105="PS",G105,0)</f>
        <v>0</v>
      </c>
      <c r="U105" s="38">
        <f>IF(Q105="PS",H105-P105,0)</f>
        <v>0</v>
      </c>
      <c r="V105" s="38">
        <f>IF(Q105="MP",G105,0)</f>
        <v>0</v>
      </c>
      <c r="W105" s="38">
        <f>IF(Q105="MP",H105-P105,0)</f>
        <v>0</v>
      </c>
      <c r="X105" s="38">
        <f>IF(Q105="OM",G105,0)</f>
        <v>0</v>
      </c>
      <c r="Y105" s="28"/>
      <c r="AI105" s="38">
        <f>SUM(Z106:Z108)</f>
        <v>0</v>
      </c>
      <c r="AJ105" s="38">
        <f>SUM(AA106:AA108)</f>
        <v>0</v>
      </c>
      <c r="AK105" s="38">
        <f>SUM(AB106:AB108)</f>
        <v>0</v>
      </c>
    </row>
    <row r="106" spans="1:43" ht="12.75">
      <c r="A106" s="4" t="s">
        <v>44</v>
      </c>
      <c r="B106" s="4" t="s">
        <v>152</v>
      </c>
      <c r="C106" s="4" t="s">
        <v>295</v>
      </c>
      <c r="D106" s="4" t="s">
        <v>451</v>
      </c>
      <c r="E106" s="18">
        <v>1</v>
      </c>
      <c r="F106" s="60">
        <v>0</v>
      </c>
      <c r="G106" s="18">
        <f>E106*AE106</f>
        <v>0</v>
      </c>
      <c r="H106" s="18">
        <f>I106-G106</f>
        <v>0</v>
      </c>
      <c r="I106" s="18">
        <f>E106*F106</f>
        <v>0</v>
      </c>
      <c r="J106" s="18">
        <v>0</v>
      </c>
      <c r="K106" s="18">
        <f>E106*J106</f>
        <v>0</v>
      </c>
      <c r="L106" s="31" t="s">
        <v>472</v>
      </c>
      <c r="N106" s="31" t="s">
        <v>7</v>
      </c>
      <c r="O106" s="18">
        <f>IF(N106="5",H106,0)</f>
        <v>0</v>
      </c>
      <c r="Z106" s="18">
        <f>IF(AD106=0,I106,0)</f>
        <v>0</v>
      </c>
      <c r="AA106" s="18">
        <f>IF(AD106=15,I106,0)</f>
        <v>0</v>
      </c>
      <c r="AB106" s="18">
        <f>IF(AD106=21,I106,0)</f>
        <v>0</v>
      </c>
      <c r="AD106" s="35">
        <v>21</v>
      </c>
      <c r="AE106" s="35">
        <f>F106*0</f>
        <v>0</v>
      </c>
      <c r="AF106" s="35">
        <f>F106*(1-0)</f>
        <v>0</v>
      </c>
      <c r="AM106" s="35">
        <f>E106*AE106</f>
        <v>0</v>
      </c>
      <c r="AN106" s="35">
        <f>E106*AF106</f>
        <v>0</v>
      </c>
      <c r="AO106" s="36" t="s">
        <v>496</v>
      </c>
      <c r="AP106" s="36" t="s">
        <v>516</v>
      </c>
      <c r="AQ106" s="28" t="s">
        <v>521</v>
      </c>
    </row>
    <row r="107" spans="3:5" ht="12.75">
      <c r="C107" s="15" t="s">
        <v>7</v>
      </c>
      <c r="E107" s="19">
        <v>1</v>
      </c>
    </row>
    <row r="108" spans="1:43" ht="12.75">
      <c r="A108" s="4" t="s">
        <v>45</v>
      </c>
      <c r="B108" s="4" t="s">
        <v>153</v>
      </c>
      <c r="C108" s="4" t="s">
        <v>296</v>
      </c>
      <c r="D108" s="4" t="s">
        <v>451</v>
      </c>
      <c r="E108" s="18">
        <v>1</v>
      </c>
      <c r="F108" s="60">
        <v>0</v>
      </c>
      <c r="G108" s="18">
        <f>E108*AE108</f>
        <v>0</v>
      </c>
      <c r="H108" s="18">
        <f>I108-G108</f>
        <v>0</v>
      </c>
      <c r="I108" s="18">
        <f>E108*F108</f>
        <v>0</v>
      </c>
      <c r="J108" s="18">
        <v>0</v>
      </c>
      <c r="K108" s="18">
        <f>E108*J108</f>
        <v>0</v>
      </c>
      <c r="L108" s="31" t="s">
        <v>472</v>
      </c>
      <c r="N108" s="31" t="s">
        <v>7</v>
      </c>
      <c r="O108" s="18">
        <f>IF(N108="5",H108,0)</f>
        <v>0</v>
      </c>
      <c r="Z108" s="18">
        <f>IF(AD108=0,I108,0)</f>
        <v>0</v>
      </c>
      <c r="AA108" s="18">
        <f>IF(AD108=15,I108,0)</f>
        <v>0</v>
      </c>
      <c r="AB108" s="18">
        <f>IF(AD108=21,I108,0)</f>
        <v>0</v>
      </c>
      <c r="AD108" s="35">
        <v>21</v>
      </c>
      <c r="AE108" s="35">
        <f>F108*0</f>
        <v>0</v>
      </c>
      <c r="AF108" s="35">
        <f>F108*(1-0)</f>
        <v>0</v>
      </c>
      <c r="AM108" s="35">
        <f>E108*AE108</f>
        <v>0</v>
      </c>
      <c r="AN108" s="35">
        <f>E108*AF108</f>
        <v>0</v>
      </c>
      <c r="AO108" s="36" t="s">
        <v>496</v>
      </c>
      <c r="AP108" s="36" t="s">
        <v>516</v>
      </c>
      <c r="AQ108" s="28" t="s">
        <v>521</v>
      </c>
    </row>
    <row r="109" spans="3:5" ht="12.75">
      <c r="C109" s="15" t="s">
        <v>7</v>
      </c>
      <c r="E109" s="19">
        <v>1</v>
      </c>
    </row>
    <row r="110" spans="1:37" ht="12.75">
      <c r="A110" s="5"/>
      <c r="B110" s="13" t="s">
        <v>154</v>
      </c>
      <c r="C110" s="120" t="s">
        <v>297</v>
      </c>
      <c r="D110" s="121"/>
      <c r="E110" s="121"/>
      <c r="F110" s="121"/>
      <c r="G110" s="38">
        <f>SUM(G111:G124)</f>
        <v>0</v>
      </c>
      <c r="H110" s="38">
        <f>SUM(H111:H124)</f>
        <v>0</v>
      </c>
      <c r="I110" s="38">
        <f>G110+H110</f>
        <v>0</v>
      </c>
      <c r="J110" s="28"/>
      <c r="K110" s="38">
        <f>SUM(K111:K124)</f>
        <v>0.27986049999999996</v>
      </c>
      <c r="L110" s="28"/>
      <c r="P110" s="38">
        <f>IF(Q110="PR",I110,SUM(O111:O124))</f>
        <v>0</v>
      </c>
      <c r="Q110" s="28" t="s">
        <v>477</v>
      </c>
      <c r="R110" s="38">
        <f>IF(Q110="HS",G110,0)</f>
        <v>0</v>
      </c>
      <c r="S110" s="38">
        <f>IF(Q110="HS",H110-P110,0)</f>
        <v>0</v>
      </c>
      <c r="T110" s="38">
        <f>IF(Q110="PS",G110,0)</f>
        <v>0</v>
      </c>
      <c r="U110" s="38">
        <f>IF(Q110="PS",H110-P110,0)</f>
        <v>0</v>
      </c>
      <c r="V110" s="38">
        <f>IF(Q110="MP",G110,0)</f>
        <v>0</v>
      </c>
      <c r="W110" s="38">
        <f>IF(Q110="MP",H110-P110,0)</f>
        <v>0</v>
      </c>
      <c r="X110" s="38">
        <f>IF(Q110="OM",G110,0)</f>
        <v>0</v>
      </c>
      <c r="Y110" s="28"/>
      <c r="AI110" s="38">
        <f>SUM(Z111:Z124)</f>
        <v>0</v>
      </c>
      <c r="AJ110" s="38">
        <f>SUM(AA111:AA124)</f>
        <v>0</v>
      </c>
      <c r="AK110" s="38">
        <f>SUM(AB111:AB124)</f>
        <v>0</v>
      </c>
    </row>
    <row r="111" spans="1:43" ht="12.75">
      <c r="A111" s="4" t="s">
        <v>46</v>
      </c>
      <c r="B111" s="4" t="s">
        <v>155</v>
      </c>
      <c r="C111" s="4" t="s">
        <v>298</v>
      </c>
      <c r="D111" s="4" t="s">
        <v>447</v>
      </c>
      <c r="E111" s="18">
        <v>5.14</v>
      </c>
      <c r="F111" s="60">
        <v>0</v>
      </c>
      <c r="G111" s="18">
        <f>E111*AE111</f>
        <v>0</v>
      </c>
      <c r="H111" s="18">
        <f>I111-G111</f>
        <v>0</v>
      </c>
      <c r="I111" s="18">
        <f>E111*F111</f>
        <v>0</v>
      </c>
      <c r="J111" s="18">
        <v>0.03265</v>
      </c>
      <c r="K111" s="18">
        <f>E111*J111</f>
        <v>0.16782099999999997</v>
      </c>
      <c r="L111" s="31" t="s">
        <v>471</v>
      </c>
      <c r="N111" s="31" t="s">
        <v>9</v>
      </c>
      <c r="O111" s="18">
        <f>IF(N111="5",H111,0)</f>
        <v>0</v>
      </c>
      <c r="Z111" s="18">
        <f>IF(AD111=0,I111,0)</f>
        <v>0</v>
      </c>
      <c r="AA111" s="18">
        <f>IF(AD111=15,I111,0)</f>
        <v>0</v>
      </c>
      <c r="AB111" s="18">
        <f>IF(AD111=21,I111,0)</f>
        <v>0</v>
      </c>
      <c r="AD111" s="35">
        <v>21</v>
      </c>
      <c r="AE111" s="35">
        <f>F111*0</f>
        <v>0</v>
      </c>
      <c r="AF111" s="35">
        <f>F111*(1-0)</f>
        <v>0</v>
      </c>
      <c r="AM111" s="35">
        <f>E111*AE111</f>
        <v>0</v>
      </c>
      <c r="AN111" s="35">
        <f>E111*AF111</f>
        <v>0</v>
      </c>
      <c r="AO111" s="36" t="s">
        <v>497</v>
      </c>
      <c r="AP111" s="36" t="s">
        <v>517</v>
      </c>
      <c r="AQ111" s="28" t="s">
        <v>521</v>
      </c>
    </row>
    <row r="112" spans="3:5" ht="12.75">
      <c r="C112" s="15" t="s">
        <v>299</v>
      </c>
      <c r="E112" s="19">
        <v>5.14</v>
      </c>
    </row>
    <row r="113" spans="1:43" ht="12.75">
      <c r="A113" s="4" t="s">
        <v>47</v>
      </c>
      <c r="B113" s="4" t="s">
        <v>156</v>
      </c>
      <c r="C113" s="4" t="s">
        <v>300</v>
      </c>
      <c r="D113" s="4" t="s">
        <v>447</v>
      </c>
      <c r="E113" s="18">
        <v>6.61</v>
      </c>
      <c r="F113" s="60">
        <v>0</v>
      </c>
      <c r="G113" s="18">
        <f>E113*AE113</f>
        <v>0</v>
      </c>
      <c r="H113" s="18">
        <f>I113-G113</f>
        <v>0</v>
      </c>
      <c r="I113" s="18">
        <f>E113*F113</f>
        <v>0</v>
      </c>
      <c r="J113" s="18">
        <v>0.01695</v>
      </c>
      <c r="K113" s="18">
        <f>E113*J113</f>
        <v>0.1120395</v>
      </c>
      <c r="L113" s="31" t="s">
        <v>471</v>
      </c>
      <c r="N113" s="31" t="s">
        <v>9</v>
      </c>
      <c r="O113" s="18">
        <f>IF(N113="5",H113,0)</f>
        <v>0</v>
      </c>
      <c r="Z113" s="18">
        <f>IF(AD113=0,I113,0)</f>
        <v>0</v>
      </c>
      <c r="AA113" s="18">
        <f>IF(AD113=15,I113,0)</f>
        <v>0</v>
      </c>
      <c r="AB113" s="18">
        <f>IF(AD113=21,I113,0)</f>
        <v>0</v>
      </c>
      <c r="AD113" s="35">
        <v>21</v>
      </c>
      <c r="AE113" s="35">
        <f>F113*0</f>
        <v>0</v>
      </c>
      <c r="AF113" s="35">
        <f>F113*(1-0)</f>
        <v>0</v>
      </c>
      <c r="AM113" s="35">
        <f>E113*AE113</f>
        <v>0</v>
      </c>
      <c r="AN113" s="35">
        <f>E113*AF113</f>
        <v>0</v>
      </c>
      <c r="AO113" s="36" t="s">
        <v>497</v>
      </c>
      <c r="AP113" s="36" t="s">
        <v>517</v>
      </c>
      <c r="AQ113" s="28" t="s">
        <v>521</v>
      </c>
    </row>
    <row r="114" spans="3:5" ht="12.75">
      <c r="C114" s="15" t="s">
        <v>301</v>
      </c>
      <c r="E114" s="19">
        <v>3.3</v>
      </c>
    </row>
    <row r="115" spans="3:5" ht="12.75">
      <c r="C115" s="15" t="s">
        <v>302</v>
      </c>
      <c r="E115" s="19">
        <v>3.31</v>
      </c>
    </row>
    <row r="116" spans="1:43" ht="25.5">
      <c r="A116" s="4" t="s">
        <v>48</v>
      </c>
      <c r="B116" s="4" t="s">
        <v>157</v>
      </c>
      <c r="C116" s="52" t="s">
        <v>303</v>
      </c>
      <c r="D116" s="4" t="s">
        <v>451</v>
      </c>
      <c r="E116" s="18">
        <v>1</v>
      </c>
      <c r="F116" s="60">
        <v>0</v>
      </c>
      <c r="G116" s="18">
        <f>E116*AE116</f>
        <v>0</v>
      </c>
      <c r="H116" s="18">
        <f>I116-G116</f>
        <v>0</v>
      </c>
      <c r="I116" s="18">
        <f>E116*F116</f>
        <v>0</v>
      </c>
      <c r="J116" s="18">
        <v>0</v>
      </c>
      <c r="K116" s="18">
        <f>E116*J116</f>
        <v>0</v>
      </c>
      <c r="L116" s="31" t="s">
        <v>472</v>
      </c>
      <c r="N116" s="31" t="s">
        <v>7</v>
      </c>
      <c r="O116" s="18">
        <f>IF(N116="5",H116,0)</f>
        <v>0</v>
      </c>
      <c r="Z116" s="18">
        <f>IF(AD116=0,I116,0)</f>
        <v>0</v>
      </c>
      <c r="AA116" s="18">
        <f>IF(AD116=15,I116,0)</f>
        <v>0</v>
      </c>
      <c r="AB116" s="18">
        <f>IF(AD116=21,I116,0)</f>
        <v>0</v>
      </c>
      <c r="AD116" s="35">
        <v>21</v>
      </c>
      <c r="AE116" s="35">
        <f>F116*0</f>
        <v>0</v>
      </c>
      <c r="AF116" s="35">
        <f>F116*(1-0)</f>
        <v>0</v>
      </c>
      <c r="AM116" s="35">
        <f>E116*AE116</f>
        <v>0</v>
      </c>
      <c r="AN116" s="35">
        <f>E116*AF116</f>
        <v>0</v>
      </c>
      <c r="AO116" s="36" t="s">
        <v>497</v>
      </c>
      <c r="AP116" s="36" t="s">
        <v>517</v>
      </c>
      <c r="AQ116" s="28" t="s">
        <v>521</v>
      </c>
    </row>
    <row r="117" spans="3:5" ht="12.75">
      <c r="C117" s="15" t="s">
        <v>7</v>
      </c>
      <c r="E117" s="19">
        <v>1</v>
      </c>
    </row>
    <row r="118" spans="1:43" ht="12.75">
      <c r="A118" s="4" t="s">
        <v>49</v>
      </c>
      <c r="B118" s="4" t="s">
        <v>158</v>
      </c>
      <c r="C118" s="4" t="s">
        <v>304</v>
      </c>
      <c r="D118" s="4" t="s">
        <v>451</v>
      </c>
      <c r="E118" s="18">
        <v>1</v>
      </c>
      <c r="F118" s="60">
        <v>0</v>
      </c>
      <c r="G118" s="18">
        <f>E118*AE118</f>
        <v>0</v>
      </c>
      <c r="H118" s="18">
        <f>I118-G118</f>
        <v>0</v>
      </c>
      <c r="I118" s="18">
        <f>E118*F118</f>
        <v>0</v>
      </c>
      <c r="J118" s="18">
        <v>0</v>
      </c>
      <c r="K118" s="18">
        <f>E118*J118</f>
        <v>0</v>
      </c>
      <c r="L118" s="31" t="s">
        <v>472</v>
      </c>
      <c r="N118" s="31" t="s">
        <v>7</v>
      </c>
      <c r="O118" s="18">
        <f>IF(N118="5",H118,0)</f>
        <v>0</v>
      </c>
      <c r="Z118" s="18">
        <f>IF(AD118=0,I118,0)</f>
        <v>0</v>
      </c>
      <c r="AA118" s="18">
        <f>IF(AD118=15,I118,0)</f>
        <v>0</v>
      </c>
      <c r="AB118" s="18">
        <f>IF(AD118=21,I118,0)</f>
        <v>0</v>
      </c>
      <c r="AD118" s="35">
        <v>21</v>
      </c>
      <c r="AE118" s="35">
        <f>F118*1</f>
        <v>0</v>
      </c>
      <c r="AF118" s="35">
        <f>F118*(1-1)</f>
        <v>0</v>
      </c>
      <c r="AM118" s="35">
        <f>E118*AE118</f>
        <v>0</v>
      </c>
      <c r="AN118" s="35">
        <f>E118*AF118</f>
        <v>0</v>
      </c>
      <c r="AO118" s="36" t="s">
        <v>497</v>
      </c>
      <c r="AP118" s="36" t="s">
        <v>517</v>
      </c>
      <c r="AQ118" s="28" t="s">
        <v>521</v>
      </c>
    </row>
    <row r="119" spans="3:5" ht="12.75">
      <c r="C119" s="15" t="s">
        <v>7</v>
      </c>
      <c r="E119" s="19">
        <v>1</v>
      </c>
    </row>
    <row r="120" spans="1:43" ht="12.75">
      <c r="A120" s="4" t="s">
        <v>50</v>
      </c>
      <c r="B120" s="4" t="s">
        <v>159</v>
      </c>
      <c r="C120" s="4" t="s">
        <v>305</v>
      </c>
      <c r="D120" s="4" t="s">
        <v>451</v>
      </c>
      <c r="E120" s="18">
        <v>1</v>
      </c>
      <c r="F120" s="60">
        <v>0</v>
      </c>
      <c r="G120" s="18">
        <f>E120*AE120</f>
        <v>0</v>
      </c>
      <c r="H120" s="18">
        <f>I120-G120</f>
        <v>0</v>
      </c>
      <c r="I120" s="18">
        <f>E120*F120</f>
        <v>0</v>
      </c>
      <c r="J120" s="18">
        <v>0</v>
      </c>
      <c r="K120" s="18">
        <f>E120*J120</f>
        <v>0</v>
      </c>
      <c r="L120" s="31" t="s">
        <v>472</v>
      </c>
      <c r="N120" s="31" t="s">
        <v>7</v>
      </c>
      <c r="O120" s="18">
        <f>IF(N120="5",H120,0)</f>
        <v>0</v>
      </c>
      <c r="Z120" s="18">
        <f>IF(AD120=0,I120,0)</f>
        <v>0</v>
      </c>
      <c r="AA120" s="18">
        <f>IF(AD120=15,I120,0)</f>
        <v>0</v>
      </c>
      <c r="AB120" s="18">
        <f>IF(AD120=21,I120,0)</f>
        <v>0</v>
      </c>
      <c r="AD120" s="35">
        <v>21</v>
      </c>
      <c r="AE120" s="35">
        <f>F120*0</f>
        <v>0</v>
      </c>
      <c r="AF120" s="35">
        <f>F120*(1-0)</f>
        <v>0</v>
      </c>
      <c r="AM120" s="35">
        <f>E120*AE120</f>
        <v>0</v>
      </c>
      <c r="AN120" s="35">
        <f>E120*AF120</f>
        <v>0</v>
      </c>
      <c r="AO120" s="36" t="s">
        <v>497</v>
      </c>
      <c r="AP120" s="36" t="s">
        <v>517</v>
      </c>
      <c r="AQ120" s="28" t="s">
        <v>521</v>
      </c>
    </row>
    <row r="121" spans="3:5" ht="12.75">
      <c r="C121" s="15" t="s">
        <v>7</v>
      </c>
      <c r="E121" s="19">
        <v>1</v>
      </c>
    </row>
    <row r="122" spans="1:43" ht="12.75">
      <c r="A122" s="4" t="s">
        <v>51</v>
      </c>
      <c r="B122" s="4" t="s">
        <v>160</v>
      </c>
      <c r="C122" s="4" t="s">
        <v>306</v>
      </c>
      <c r="D122" s="4" t="s">
        <v>451</v>
      </c>
      <c r="E122" s="18">
        <v>1</v>
      </c>
      <c r="F122" s="60">
        <v>0</v>
      </c>
      <c r="G122" s="18">
        <f>E122*AE122</f>
        <v>0</v>
      </c>
      <c r="H122" s="18">
        <f>I122-G122</f>
        <v>0</v>
      </c>
      <c r="I122" s="18">
        <f>E122*F122</f>
        <v>0</v>
      </c>
      <c r="J122" s="18">
        <v>0</v>
      </c>
      <c r="K122" s="18">
        <f>E122*J122</f>
        <v>0</v>
      </c>
      <c r="L122" s="31" t="s">
        <v>472</v>
      </c>
      <c r="N122" s="31" t="s">
        <v>7</v>
      </c>
      <c r="O122" s="18">
        <f>IF(N122="5",H122,0)</f>
        <v>0</v>
      </c>
      <c r="Z122" s="18">
        <f>IF(AD122=0,I122,0)</f>
        <v>0</v>
      </c>
      <c r="AA122" s="18">
        <f>IF(AD122=15,I122,0)</f>
        <v>0</v>
      </c>
      <c r="AB122" s="18">
        <f>IF(AD122=21,I122,0)</f>
        <v>0</v>
      </c>
      <c r="AD122" s="35">
        <v>21</v>
      </c>
      <c r="AE122" s="35">
        <f>F122*0</f>
        <v>0</v>
      </c>
      <c r="AF122" s="35">
        <f>F122*(1-0)</f>
        <v>0</v>
      </c>
      <c r="AM122" s="35">
        <f>E122*AE122</f>
        <v>0</v>
      </c>
      <c r="AN122" s="35">
        <f>E122*AF122</f>
        <v>0</v>
      </c>
      <c r="AO122" s="36" t="s">
        <v>497</v>
      </c>
      <c r="AP122" s="36" t="s">
        <v>517</v>
      </c>
      <c r="AQ122" s="28" t="s">
        <v>521</v>
      </c>
    </row>
    <row r="123" spans="3:5" ht="12.75">
      <c r="C123" s="15" t="s">
        <v>7</v>
      </c>
      <c r="E123" s="19">
        <v>1</v>
      </c>
    </row>
    <row r="124" spans="1:43" ht="12.75">
      <c r="A124" s="4" t="s">
        <v>52</v>
      </c>
      <c r="B124" s="4" t="s">
        <v>161</v>
      </c>
      <c r="C124" s="4" t="s">
        <v>307</v>
      </c>
      <c r="D124" s="4" t="s">
        <v>451</v>
      </c>
      <c r="E124" s="18">
        <v>1</v>
      </c>
      <c r="F124" s="60">
        <v>0</v>
      </c>
      <c r="G124" s="18">
        <f>E124*AE124</f>
        <v>0</v>
      </c>
      <c r="H124" s="18">
        <f>I124-G124</f>
        <v>0</v>
      </c>
      <c r="I124" s="18">
        <f>E124*F124</f>
        <v>0</v>
      </c>
      <c r="J124" s="18">
        <v>0</v>
      </c>
      <c r="K124" s="18">
        <f>E124*J124</f>
        <v>0</v>
      </c>
      <c r="L124" s="31" t="s">
        <v>472</v>
      </c>
      <c r="N124" s="31" t="s">
        <v>7</v>
      </c>
      <c r="O124" s="18">
        <f>IF(N124="5",H124,0)</f>
        <v>0</v>
      </c>
      <c r="Z124" s="18">
        <f>IF(AD124=0,I124,0)</f>
        <v>0</v>
      </c>
      <c r="AA124" s="18">
        <f>IF(AD124=15,I124,0)</f>
        <v>0</v>
      </c>
      <c r="AB124" s="18">
        <f>IF(AD124=21,I124,0)</f>
        <v>0</v>
      </c>
      <c r="AD124" s="35">
        <v>21</v>
      </c>
      <c r="AE124" s="35">
        <f>F124*0</f>
        <v>0</v>
      </c>
      <c r="AF124" s="35">
        <f>F124*(1-0)</f>
        <v>0</v>
      </c>
      <c r="AM124" s="35">
        <f>E124*AE124</f>
        <v>0</v>
      </c>
      <c r="AN124" s="35">
        <f>E124*AF124</f>
        <v>0</v>
      </c>
      <c r="AO124" s="36" t="s">
        <v>497</v>
      </c>
      <c r="AP124" s="36" t="s">
        <v>517</v>
      </c>
      <c r="AQ124" s="28" t="s">
        <v>521</v>
      </c>
    </row>
    <row r="125" spans="3:5" ht="12.75">
      <c r="C125" s="15" t="s">
        <v>7</v>
      </c>
      <c r="E125" s="19">
        <v>1</v>
      </c>
    </row>
    <row r="126" spans="1:37" ht="12.75">
      <c r="A126" s="5"/>
      <c r="B126" s="13" t="s">
        <v>162</v>
      </c>
      <c r="C126" s="120" t="s">
        <v>308</v>
      </c>
      <c r="D126" s="121"/>
      <c r="E126" s="121"/>
      <c r="F126" s="121"/>
      <c r="G126" s="38">
        <f>SUM(G127:G129)</f>
        <v>0</v>
      </c>
      <c r="H126" s="38">
        <f>SUM(H127:H129)</f>
        <v>0</v>
      </c>
      <c r="I126" s="38">
        <f>G126+H126</f>
        <v>0</v>
      </c>
      <c r="J126" s="28"/>
      <c r="K126" s="38">
        <f>SUM(K127:K129)</f>
        <v>2E-05</v>
      </c>
      <c r="L126" s="28"/>
      <c r="P126" s="38">
        <f>IF(Q126="PR",I126,SUM(O127:O129))</f>
        <v>0</v>
      </c>
      <c r="Q126" s="28" t="s">
        <v>477</v>
      </c>
      <c r="R126" s="38">
        <f>IF(Q126="HS",G126,0)</f>
        <v>0</v>
      </c>
      <c r="S126" s="38">
        <f>IF(Q126="HS",H126-P126,0)</f>
        <v>0</v>
      </c>
      <c r="T126" s="38">
        <f>IF(Q126="PS",G126,0)</f>
        <v>0</v>
      </c>
      <c r="U126" s="38">
        <f>IF(Q126="PS",H126-P126,0)</f>
        <v>0</v>
      </c>
      <c r="V126" s="38">
        <f>IF(Q126="MP",G126,0)</f>
        <v>0</v>
      </c>
      <c r="W126" s="38">
        <f>IF(Q126="MP",H126-P126,0)</f>
        <v>0</v>
      </c>
      <c r="X126" s="38">
        <f>IF(Q126="OM",G126,0)</f>
        <v>0</v>
      </c>
      <c r="Y126" s="28"/>
      <c r="AI126" s="38">
        <f>SUM(Z127:Z129)</f>
        <v>0</v>
      </c>
      <c r="AJ126" s="38">
        <f>SUM(AA127:AA129)</f>
        <v>0</v>
      </c>
      <c r="AK126" s="38">
        <f>SUM(AB127:AB129)</f>
        <v>0</v>
      </c>
    </row>
    <row r="127" spans="1:43" ht="12.75">
      <c r="A127" s="4" t="s">
        <v>53</v>
      </c>
      <c r="B127" s="4" t="s">
        <v>163</v>
      </c>
      <c r="C127" s="4" t="s">
        <v>309</v>
      </c>
      <c r="D127" s="4" t="s">
        <v>446</v>
      </c>
      <c r="E127" s="18">
        <v>2</v>
      </c>
      <c r="F127" s="60">
        <v>0</v>
      </c>
      <c r="G127" s="18">
        <f>E127*AE127</f>
        <v>0</v>
      </c>
      <c r="H127" s="18">
        <f>I127-G127</f>
        <v>0</v>
      </c>
      <c r="I127" s="18">
        <f>E127*F127</f>
        <v>0</v>
      </c>
      <c r="J127" s="18">
        <v>1E-05</v>
      </c>
      <c r="K127" s="18">
        <f>E127*J127</f>
        <v>2E-05</v>
      </c>
      <c r="L127" s="31" t="s">
        <v>471</v>
      </c>
      <c r="N127" s="31" t="s">
        <v>7</v>
      </c>
      <c r="O127" s="18">
        <f>IF(N127="5",H127,0)</f>
        <v>0</v>
      </c>
      <c r="Z127" s="18">
        <f>IF(AD127=0,I127,0)</f>
        <v>0</v>
      </c>
      <c r="AA127" s="18">
        <f>IF(AD127=15,I127,0)</f>
        <v>0</v>
      </c>
      <c r="AB127" s="18">
        <f>IF(AD127=21,I127,0)</f>
        <v>0</v>
      </c>
      <c r="AD127" s="35">
        <v>21</v>
      </c>
      <c r="AE127" s="35">
        <f>F127*0.0209977776074795</f>
        <v>0</v>
      </c>
      <c r="AF127" s="35">
        <f>F127*(1-0.0209977776074795)</f>
        <v>0</v>
      </c>
      <c r="AM127" s="35">
        <f>E127*AE127</f>
        <v>0</v>
      </c>
      <c r="AN127" s="35">
        <f>E127*AF127</f>
        <v>0</v>
      </c>
      <c r="AO127" s="36" t="s">
        <v>498</v>
      </c>
      <c r="AP127" s="36" t="s">
        <v>517</v>
      </c>
      <c r="AQ127" s="28" t="s">
        <v>521</v>
      </c>
    </row>
    <row r="128" spans="3:5" ht="12.75">
      <c r="C128" s="15" t="s">
        <v>8</v>
      </c>
      <c r="E128" s="19">
        <v>2</v>
      </c>
    </row>
    <row r="129" spans="1:43" ht="12.75">
      <c r="A129" s="6" t="s">
        <v>54</v>
      </c>
      <c r="B129" s="6" t="s">
        <v>164</v>
      </c>
      <c r="C129" s="6" t="s">
        <v>310</v>
      </c>
      <c r="D129" s="6" t="s">
        <v>446</v>
      </c>
      <c r="E129" s="20">
        <v>2</v>
      </c>
      <c r="F129" s="60">
        <v>0</v>
      </c>
      <c r="G129" s="20">
        <f>E129*AE129</f>
        <v>0</v>
      </c>
      <c r="H129" s="20">
        <f>I129-G129</f>
        <v>0</v>
      </c>
      <c r="I129" s="20">
        <f>E129*F129</f>
        <v>0</v>
      </c>
      <c r="J129" s="20">
        <v>0</v>
      </c>
      <c r="K129" s="20">
        <f>E129*J129</f>
        <v>0</v>
      </c>
      <c r="L129" s="32" t="s">
        <v>472</v>
      </c>
      <c r="N129" s="32" t="s">
        <v>473</v>
      </c>
      <c r="O129" s="20">
        <f>IF(N129="5",H129,0)</f>
        <v>0</v>
      </c>
      <c r="Z129" s="20">
        <f>IF(AD129=0,I129,0)</f>
        <v>0</v>
      </c>
      <c r="AA129" s="20">
        <f>IF(AD129=15,I129,0)</f>
        <v>0</v>
      </c>
      <c r="AB129" s="20">
        <f>IF(AD129=21,I129,0)</f>
        <v>0</v>
      </c>
      <c r="AD129" s="35">
        <v>21</v>
      </c>
      <c r="AE129" s="35">
        <f>F129*1</f>
        <v>0</v>
      </c>
      <c r="AF129" s="35">
        <f>F129*(1-1)</f>
        <v>0</v>
      </c>
      <c r="AM129" s="35">
        <f>E129*AE129</f>
        <v>0</v>
      </c>
      <c r="AN129" s="35">
        <f>E129*AF129</f>
        <v>0</v>
      </c>
      <c r="AO129" s="36" t="s">
        <v>498</v>
      </c>
      <c r="AP129" s="36" t="s">
        <v>517</v>
      </c>
      <c r="AQ129" s="28" t="s">
        <v>521</v>
      </c>
    </row>
    <row r="130" spans="3:5" ht="12.75">
      <c r="C130" s="15" t="s">
        <v>8</v>
      </c>
      <c r="E130" s="19">
        <v>2</v>
      </c>
    </row>
    <row r="131" spans="1:37" ht="12.75">
      <c r="A131" s="5"/>
      <c r="B131" s="13" t="s">
        <v>165</v>
      </c>
      <c r="C131" s="120" t="s">
        <v>311</v>
      </c>
      <c r="D131" s="121"/>
      <c r="E131" s="121"/>
      <c r="F131" s="121"/>
      <c r="G131" s="38">
        <f>SUM(G132:G145)</f>
        <v>0</v>
      </c>
      <c r="H131" s="38">
        <f>SUM(H132:H145)</f>
        <v>0</v>
      </c>
      <c r="I131" s="38">
        <f>G131+H131</f>
        <v>0</v>
      </c>
      <c r="J131" s="28"/>
      <c r="K131" s="38">
        <f>SUM(K132:K145)</f>
        <v>0.2368661</v>
      </c>
      <c r="L131" s="28"/>
      <c r="P131" s="38">
        <f>IF(Q131="PR",I131,SUM(O132:O145))</f>
        <v>0</v>
      </c>
      <c r="Q131" s="28" t="s">
        <v>477</v>
      </c>
      <c r="R131" s="38">
        <f>IF(Q131="HS",G131,0)</f>
        <v>0</v>
      </c>
      <c r="S131" s="38">
        <f>IF(Q131="HS",H131-P131,0)</f>
        <v>0</v>
      </c>
      <c r="T131" s="38">
        <f>IF(Q131="PS",G131,0)</f>
        <v>0</v>
      </c>
      <c r="U131" s="38">
        <f>IF(Q131="PS",H131-P131,0)</f>
        <v>0</v>
      </c>
      <c r="V131" s="38">
        <f>IF(Q131="MP",G131,0)</f>
        <v>0</v>
      </c>
      <c r="W131" s="38">
        <f>IF(Q131="MP",H131-P131,0)</f>
        <v>0</v>
      </c>
      <c r="X131" s="38">
        <f>IF(Q131="OM",G131,0)</f>
        <v>0</v>
      </c>
      <c r="Y131" s="28"/>
      <c r="AI131" s="38">
        <f>SUM(Z132:Z145)</f>
        <v>0</v>
      </c>
      <c r="AJ131" s="38">
        <f>SUM(AA132:AA145)</f>
        <v>0</v>
      </c>
      <c r="AK131" s="38">
        <f>SUM(AB132:AB145)</f>
        <v>0</v>
      </c>
    </row>
    <row r="132" spans="1:43" ht="12.75">
      <c r="A132" s="4" t="s">
        <v>55</v>
      </c>
      <c r="B132" s="4" t="s">
        <v>166</v>
      </c>
      <c r="C132" s="4" t="s">
        <v>312</v>
      </c>
      <c r="D132" s="4" t="s">
        <v>447</v>
      </c>
      <c r="E132" s="18">
        <v>19.8</v>
      </c>
      <c r="F132" s="60">
        <v>0</v>
      </c>
      <c r="G132" s="18">
        <f>E132*AE132</f>
        <v>0</v>
      </c>
      <c r="H132" s="18">
        <f>I132-G132</f>
        <v>0</v>
      </c>
      <c r="I132" s="18">
        <f>E132*F132</f>
        <v>0</v>
      </c>
      <c r="J132" s="18">
        <v>0</v>
      </c>
      <c r="K132" s="18">
        <f>E132*J132</f>
        <v>0</v>
      </c>
      <c r="L132" s="31" t="s">
        <v>472</v>
      </c>
      <c r="N132" s="31" t="s">
        <v>7</v>
      </c>
      <c r="O132" s="18">
        <f>IF(N132="5",H132,0)</f>
        <v>0</v>
      </c>
      <c r="Z132" s="18">
        <f>IF(AD132=0,I132,0)</f>
        <v>0</v>
      </c>
      <c r="AA132" s="18">
        <f>IF(AD132=15,I132,0)</f>
        <v>0</v>
      </c>
      <c r="AB132" s="18">
        <f>IF(AD132=21,I132,0)</f>
        <v>0</v>
      </c>
      <c r="AD132" s="35">
        <v>21</v>
      </c>
      <c r="AE132" s="35">
        <f>F132*0.693481276005548</f>
        <v>0</v>
      </c>
      <c r="AF132" s="35">
        <f>F132*(1-0.693481276005548)</f>
        <v>0</v>
      </c>
      <c r="AM132" s="35">
        <f>E132*AE132</f>
        <v>0</v>
      </c>
      <c r="AN132" s="35">
        <f>E132*AF132</f>
        <v>0</v>
      </c>
      <c r="AO132" s="36" t="s">
        <v>499</v>
      </c>
      <c r="AP132" s="36" t="s">
        <v>518</v>
      </c>
      <c r="AQ132" s="28" t="s">
        <v>521</v>
      </c>
    </row>
    <row r="133" spans="3:5" ht="12.75">
      <c r="C133" s="15" t="s">
        <v>313</v>
      </c>
      <c r="E133" s="19">
        <v>19.8</v>
      </c>
    </row>
    <row r="134" spans="1:43" ht="12.75">
      <c r="A134" s="4" t="s">
        <v>56</v>
      </c>
      <c r="B134" s="4" t="s">
        <v>167</v>
      </c>
      <c r="C134" s="4" t="s">
        <v>314</v>
      </c>
      <c r="D134" s="4" t="s">
        <v>447</v>
      </c>
      <c r="E134" s="18">
        <v>82.44</v>
      </c>
      <c r="F134" s="60">
        <v>0</v>
      </c>
      <c r="G134" s="18">
        <f>E134*AE134</f>
        <v>0</v>
      </c>
      <c r="H134" s="18">
        <f>I134-G134</f>
        <v>0</v>
      </c>
      <c r="I134" s="18">
        <f>E134*F134</f>
        <v>0</v>
      </c>
      <c r="J134" s="18">
        <v>0.00021</v>
      </c>
      <c r="K134" s="18">
        <f>E134*J134</f>
        <v>0.0173124</v>
      </c>
      <c r="L134" s="31" t="s">
        <v>471</v>
      </c>
      <c r="N134" s="31" t="s">
        <v>7</v>
      </c>
      <c r="O134" s="18">
        <f>IF(N134="5",H134,0)</f>
        <v>0</v>
      </c>
      <c r="Z134" s="18">
        <f>IF(AD134=0,I134,0)</f>
        <v>0</v>
      </c>
      <c r="AA134" s="18">
        <f>IF(AD134=15,I134,0)</f>
        <v>0</v>
      </c>
      <c r="AB134" s="18">
        <f>IF(AD134=21,I134,0)</f>
        <v>0</v>
      </c>
      <c r="AD134" s="35">
        <v>21</v>
      </c>
      <c r="AE134" s="35">
        <f>F134*0.570976253298153</f>
        <v>0</v>
      </c>
      <c r="AF134" s="35">
        <f>F134*(1-0.570976253298153)</f>
        <v>0</v>
      </c>
      <c r="AM134" s="35">
        <f>E134*AE134</f>
        <v>0</v>
      </c>
      <c r="AN134" s="35">
        <f>E134*AF134</f>
        <v>0</v>
      </c>
      <c r="AO134" s="36" t="s">
        <v>499</v>
      </c>
      <c r="AP134" s="36" t="s">
        <v>518</v>
      </c>
      <c r="AQ134" s="28" t="s">
        <v>521</v>
      </c>
    </row>
    <row r="135" spans="3:5" ht="12.75">
      <c r="C135" s="15" t="s">
        <v>275</v>
      </c>
      <c r="E135" s="19">
        <v>70.83</v>
      </c>
    </row>
    <row r="136" spans="3:5" ht="12.75">
      <c r="C136" s="15" t="s">
        <v>276</v>
      </c>
      <c r="E136" s="19">
        <v>11.61</v>
      </c>
    </row>
    <row r="137" spans="1:43" ht="12.75">
      <c r="A137" s="4" t="s">
        <v>57</v>
      </c>
      <c r="B137" s="4" t="s">
        <v>168</v>
      </c>
      <c r="C137" s="4" t="s">
        <v>315</v>
      </c>
      <c r="D137" s="4" t="s">
        <v>447</v>
      </c>
      <c r="E137" s="18">
        <v>70.83</v>
      </c>
      <c r="F137" s="60">
        <v>0</v>
      </c>
      <c r="G137" s="18">
        <f>E137*AE137</f>
        <v>0</v>
      </c>
      <c r="H137" s="18">
        <f>I137-G137</f>
        <v>0</v>
      </c>
      <c r="I137" s="18">
        <f>E137*F137</f>
        <v>0</v>
      </c>
      <c r="J137" s="18">
        <v>0.00275</v>
      </c>
      <c r="K137" s="18">
        <f>E137*J137</f>
        <v>0.1947825</v>
      </c>
      <c r="L137" s="31" t="s">
        <v>471</v>
      </c>
      <c r="N137" s="31" t="s">
        <v>9</v>
      </c>
      <c r="O137" s="18">
        <f>IF(N137="5",H137,0)</f>
        <v>0</v>
      </c>
      <c r="Z137" s="18">
        <f>IF(AD137=0,I137,0)</f>
        <v>0</v>
      </c>
      <c r="AA137" s="18">
        <f>IF(AD137=15,I137,0)</f>
        <v>0</v>
      </c>
      <c r="AB137" s="18">
        <f>IF(AD137=21,I137,0)</f>
        <v>0</v>
      </c>
      <c r="AD137" s="35">
        <v>21</v>
      </c>
      <c r="AE137" s="35">
        <f>F137*0.176519804909903</f>
        <v>0</v>
      </c>
      <c r="AF137" s="35">
        <f>F137*(1-0.176519804909903)</f>
        <v>0</v>
      </c>
      <c r="AM137" s="35">
        <f>E137*AE137</f>
        <v>0</v>
      </c>
      <c r="AN137" s="35">
        <f>E137*AF137</f>
        <v>0</v>
      </c>
      <c r="AO137" s="36" t="s">
        <v>499</v>
      </c>
      <c r="AP137" s="36" t="s">
        <v>518</v>
      </c>
      <c r="AQ137" s="28" t="s">
        <v>521</v>
      </c>
    </row>
    <row r="138" spans="3:5" ht="12.75">
      <c r="C138" s="15" t="s">
        <v>275</v>
      </c>
      <c r="E138" s="19">
        <v>70.83</v>
      </c>
    </row>
    <row r="139" spans="1:43" ht="12.75">
      <c r="A139" s="6" t="s">
        <v>58</v>
      </c>
      <c r="B139" s="6" t="s">
        <v>169</v>
      </c>
      <c r="C139" s="6" t="s">
        <v>316</v>
      </c>
      <c r="D139" s="6" t="s">
        <v>447</v>
      </c>
      <c r="E139" s="20">
        <v>81.45</v>
      </c>
      <c r="F139" s="60">
        <v>0</v>
      </c>
      <c r="G139" s="20">
        <f>E139*AE139</f>
        <v>0</v>
      </c>
      <c r="H139" s="20">
        <f>I139-G139</f>
        <v>0</v>
      </c>
      <c r="I139" s="20">
        <f>E139*F139</f>
        <v>0</v>
      </c>
      <c r="J139" s="20">
        <v>0</v>
      </c>
      <c r="K139" s="20">
        <f>E139*J139</f>
        <v>0</v>
      </c>
      <c r="L139" s="32" t="s">
        <v>472</v>
      </c>
      <c r="N139" s="32" t="s">
        <v>473</v>
      </c>
      <c r="O139" s="20">
        <f>IF(N139="5",H139,0)</f>
        <v>0</v>
      </c>
      <c r="Z139" s="20">
        <f>IF(AD139=0,I139,0)</f>
        <v>0</v>
      </c>
      <c r="AA139" s="20">
        <f>IF(AD139=15,I139,0)</f>
        <v>0</v>
      </c>
      <c r="AB139" s="20">
        <f>IF(AD139=21,I139,0)</f>
        <v>0</v>
      </c>
      <c r="AD139" s="35">
        <v>21</v>
      </c>
      <c r="AE139" s="35">
        <f>F139*1</f>
        <v>0</v>
      </c>
      <c r="AF139" s="35">
        <f>F139*(1-1)</f>
        <v>0</v>
      </c>
      <c r="AM139" s="35">
        <f>E139*AE139</f>
        <v>0</v>
      </c>
      <c r="AN139" s="35">
        <f>E139*AF139</f>
        <v>0</v>
      </c>
      <c r="AO139" s="36" t="s">
        <v>499</v>
      </c>
      <c r="AP139" s="36" t="s">
        <v>518</v>
      </c>
      <c r="AQ139" s="28" t="s">
        <v>521</v>
      </c>
    </row>
    <row r="140" spans="3:5" ht="12.75">
      <c r="C140" s="15" t="s">
        <v>317</v>
      </c>
      <c r="E140" s="19">
        <v>81.45</v>
      </c>
    </row>
    <row r="141" spans="1:43" ht="12.75">
      <c r="A141" s="4" t="s">
        <v>59</v>
      </c>
      <c r="B141" s="4" t="s">
        <v>170</v>
      </c>
      <c r="C141" s="4" t="s">
        <v>318</v>
      </c>
      <c r="D141" s="4" t="s">
        <v>448</v>
      </c>
      <c r="E141" s="18">
        <v>9.46</v>
      </c>
      <c r="F141" s="60">
        <v>0</v>
      </c>
      <c r="G141" s="18">
        <f>E141*AE141</f>
        <v>0</v>
      </c>
      <c r="H141" s="18">
        <f>I141-G141</f>
        <v>0</v>
      </c>
      <c r="I141" s="18">
        <f>E141*F141</f>
        <v>0</v>
      </c>
      <c r="J141" s="18">
        <v>0</v>
      </c>
      <c r="K141" s="18">
        <f>E141*J141</f>
        <v>0</v>
      </c>
      <c r="L141" s="31" t="s">
        <v>472</v>
      </c>
      <c r="N141" s="31" t="s">
        <v>7</v>
      </c>
      <c r="O141" s="18">
        <f>IF(N141="5",H141,0)</f>
        <v>0</v>
      </c>
      <c r="Z141" s="18">
        <f>IF(AD141=0,I141,0)</f>
        <v>0</v>
      </c>
      <c r="AA141" s="18">
        <f>IF(AD141=15,I141,0)</f>
        <v>0</v>
      </c>
      <c r="AB141" s="18">
        <f>IF(AD141=21,I141,0)</f>
        <v>0</v>
      </c>
      <c r="AD141" s="35">
        <v>21</v>
      </c>
      <c r="AE141" s="35">
        <f>F141*0.879669811320755</f>
        <v>0</v>
      </c>
      <c r="AF141" s="35">
        <f>F141*(1-0.879669811320755)</f>
        <v>0</v>
      </c>
      <c r="AM141" s="35">
        <f>E141*AE141</f>
        <v>0</v>
      </c>
      <c r="AN141" s="35">
        <f>E141*AF141</f>
        <v>0</v>
      </c>
      <c r="AO141" s="36" t="s">
        <v>499</v>
      </c>
      <c r="AP141" s="36" t="s">
        <v>518</v>
      </c>
      <c r="AQ141" s="28" t="s">
        <v>521</v>
      </c>
    </row>
    <row r="142" spans="3:5" ht="12.75">
      <c r="C142" s="15" t="s">
        <v>319</v>
      </c>
      <c r="E142" s="19">
        <v>9.46</v>
      </c>
    </row>
    <row r="143" spans="1:43" ht="25.5">
      <c r="A143" s="4" t="s">
        <v>60</v>
      </c>
      <c r="B143" s="4" t="s">
        <v>171</v>
      </c>
      <c r="C143" s="52" t="s">
        <v>320</v>
      </c>
      <c r="D143" s="4" t="s">
        <v>448</v>
      </c>
      <c r="E143" s="18">
        <v>77.41</v>
      </c>
      <c r="F143" s="60">
        <v>0</v>
      </c>
      <c r="G143" s="18">
        <f>E143*AE143</f>
        <v>0</v>
      </c>
      <c r="H143" s="18">
        <f>I143-G143</f>
        <v>0</v>
      </c>
      <c r="I143" s="18">
        <f>E143*F143</f>
        <v>0</v>
      </c>
      <c r="J143" s="18">
        <v>0.00032</v>
      </c>
      <c r="K143" s="18">
        <f>E143*J143</f>
        <v>0.0247712</v>
      </c>
      <c r="L143" s="31" t="s">
        <v>471</v>
      </c>
      <c r="N143" s="31" t="s">
        <v>7</v>
      </c>
      <c r="O143" s="18">
        <f>IF(N143="5",H143,0)</f>
        <v>0</v>
      </c>
      <c r="Z143" s="18">
        <f>IF(AD143=0,I143,0)</f>
        <v>0</v>
      </c>
      <c r="AA143" s="18">
        <f>IF(AD143=15,I143,0)</f>
        <v>0</v>
      </c>
      <c r="AB143" s="18">
        <f>IF(AD143=21,I143,0)</f>
        <v>0</v>
      </c>
      <c r="AD143" s="35">
        <v>21</v>
      </c>
      <c r="AE143" s="35">
        <f>F143*0.114515265131227</f>
        <v>0</v>
      </c>
      <c r="AF143" s="35">
        <f>F143*(1-0.114515265131227)</f>
        <v>0</v>
      </c>
      <c r="AM143" s="35">
        <f>E143*AE143</f>
        <v>0</v>
      </c>
      <c r="AN143" s="35">
        <f>E143*AF143</f>
        <v>0</v>
      </c>
      <c r="AO143" s="36" t="s">
        <v>499</v>
      </c>
      <c r="AP143" s="36" t="s">
        <v>518</v>
      </c>
      <c r="AQ143" s="28" t="s">
        <v>521</v>
      </c>
    </row>
    <row r="144" spans="3:5" ht="12.75">
      <c r="C144" s="15" t="s">
        <v>279</v>
      </c>
      <c r="E144" s="19">
        <v>77.41</v>
      </c>
    </row>
    <row r="145" spans="1:43" ht="12.75">
      <c r="A145" s="6" t="s">
        <v>61</v>
      </c>
      <c r="B145" s="6" t="s">
        <v>172</v>
      </c>
      <c r="C145" s="6" t="s">
        <v>316</v>
      </c>
      <c r="D145" s="6" t="s">
        <v>447</v>
      </c>
      <c r="E145" s="20">
        <v>13.35</v>
      </c>
      <c r="F145" s="60">
        <v>0</v>
      </c>
      <c r="G145" s="20">
        <f>E145*AE145</f>
        <v>0</v>
      </c>
      <c r="H145" s="20">
        <f>I145-G145</f>
        <v>0</v>
      </c>
      <c r="I145" s="20">
        <f>E145*F145</f>
        <v>0</v>
      </c>
      <c r="J145" s="20">
        <v>0</v>
      </c>
      <c r="K145" s="20">
        <f>E145*J145</f>
        <v>0</v>
      </c>
      <c r="L145" s="32" t="s">
        <v>472</v>
      </c>
      <c r="N145" s="32" t="s">
        <v>473</v>
      </c>
      <c r="O145" s="20">
        <f>IF(N145="5",H145,0)</f>
        <v>0</v>
      </c>
      <c r="Z145" s="20">
        <f>IF(AD145=0,I145,0)</f>
        <v>0</v>
      </c>
      <c r="AA145" s="20">
        <f>IF(AD145=15,I145,0)</f>
        <v>0</v>
      </c>
      <c r="AB145" s="20">
        <f>IF(AD145=21,I145,0)</f>
        <v>0</v>
      </c>
      <c r="AD145" s="35">
        <v>21</v>
      </c>
      <c r="AE145" s="35">
        <f>F145*1</f>
        <v>0</v>
      </c>
      <c r="AF145" s="35">
        <f>F145*(1-1)</f>
        <v>0</v>
      </c>
      <c r="AM145" s="35">
        <f>E145*AE145</f>
        <v>0</v>
      </c>
      <c r="AN145" s="35">
        <f>E145*AF145</f>
        <v>0</v>
      </c>
      <c r="AO145" s="36" t="s">
        <v>499</v>
      </c>
      <c r="AP145" s="36" t="s">
        <v>518</v>
      </c>
      <c r="AQ145" s="28" t="s">
        <v>521</v>
      </c>
    </row>
    <row r="146" spans="3:5" ht="12.75">
      <c r="C146" s="15" t="s">
        <v>321</v>
      </c>
      <c r="E146" s="19">
        <v>13.35</v>
      </c>
    </row>
    <row r="147" spans="1:37" ht="12.75">
      <c r="A147" s="5"/>
      <c r="B147" s="13" t="s">
        <v>173</v>
      </c>
      <c r="C147" s="120" t="s">
        <v>322</v>
      </c>
      <c r="D147" s="121"/>
      <c r="E147" s="121"/>
      <c r="F147" s="121"/>
      <c r="G147" s="38">
        <f>SUM(G148:G194)</f>
        <v>0</v>
      </c>
      <c r="H147" s="38">
        <f>SUM(H148:H194)</f>
        <v>0</v>
      </c>
      <c r="I147" s="38">
        <f>G147+H147</f>
        <v>0</v>
      </c>
      <c r="J147" s="28"/>
      <c r="K147" s="38">
        <f>SUM(K148:K194)</f>
        <v>0.6620782999999999</v>
      </c>
      <c r="L147" s="28"/>
      <c r="P147" s="38">
        <f>IF(Q147="PR",I147,SUM(O148:O194))</f>
        <v>0</v>
      </c>
      <c r="Q147" s="28" t="s">
        <v>477</v>
      </c>
      <c r="R147" s="38">
        <f>IF(Q147="HS",G147,0)</f>
        <v>0</v>
      </c>
      <c r="S147" s="38">
        <f>IF(Q147="HS",H147-P147,0)</f>
        <v>0</v>
      </c>
      <c r="T147" s="38">
        <f>IF(Q147="PS",G147,0)</f>
        <v>0</v>
      </c>
      <c r="U147" s="38">
        <f>IF(Q147="PS",H147-P147,0)</f>
        <v>0</v>
      </c>
      <c r="V147" s="38">
        <f>IF(Q147="MP",G147,0)</f>
        <v>0</v>
      </c>
      <c r="W147" s="38">
        <f>IF(Q147="MP",H147-P147,0)</f>
        <v>0</v>
      </c>
      <c r="X147" s="38">
        <f>IF(Q147="OM",G147,0)</f>
        <v>0</v>
      </c>
      <c r="Y147" s="28"/>
      <c r="AI147" s="38">
        <f>SUM(Z148:Z194)</f>
        <v>0</v>
      </c>
      <c r="AJ147" s="38">
        <f>SUM(AA148:AA194)</f>
        <v>0</v>
      </c>
      <c r="AK147" s="38">
        <f>SUM(AB148:AB194)</f>
        <v>0</v>
      </c>
    </row>
    <row r="148" spans="1:43" ht="12.75">
      <c r="A148" s="4" t="s">
        <v>62</v>
      </c>
      <c r="B148" s="4" t="s">
        <v>174</v>
      </c>
      <c r="C148" s="4" t="s">
        <v>323</v>
      </c>
      <c r="D148" s="4" t="s">
        <v>447</v>
      </c>
      <c r="E148" s="18">
        <v>120.69</v>
      </c>
      <c r="F148" s="60">
        <v>0</v>
      </c>
      <c r="G148" s="18">
        <f>E148*AE148</f>
        <v>0</v>
      </c>
      <c r="H148" s="18">
        <f>I148-G148</f>
        <v>0</v>
      </c>
      <c r="I148" s="18">
        <f>E148*F148</f>
        <v>0</v>
      </c>
      <c r="J148" s="18">
        <v>0.00016</v>
      </c>
      <c r="K148" s="18">
        <f>E148*J148</f>
        <v>0.019310400000000002</v>
      </c>
      <c r="L148" s="31" t="s">
        <v>471</v>
      </c>
      <c r="N148" s="31" t="s">
        <v>7</v>
      </c>
      <c r="O148" s="18">
        <f>IF(N148="5",H148,0)</f>
        <v>0</v>
      </c>
      <c r="Z148" s="18">
        <f>IF(AD148=0,I148,0)</f>
        <v>0</v>
      </c>
      <c r="AA148" s="18">
        <f>IF(AD148=15,I148,0)</f>
        <v>0</v>
      </c>
      <c r="AB148" s="18">
        <f>IF(AD148=21,I148,0)</f>
        <v>0</v>
      </c>
      <c r="AD148" s="35">
        <v>21</v>
      </c>
      <c r="AE148" s="35">
        <f>F148*0.499692307692308</f>
        <v>0</v>
      </c>
      <c r="AF148" s="35">
        <f>F148*(1-0.499692307692308)</f>
        <v>0</v>
      </c>
      <c r="AM148" s="35">
        <f>E148*AE148</f>
        <v>0</v>
      </c>
      <c r="AN148" s="35">
        <f>E148*AF148</f>
        <v>0</v>
      </c>
      <c r="AO148" s="36" t="s">
        <v>500</v>
      </c>
      <c r="AP148" s="36" t="s">
        <v>519</v>
      </c>
      <c r="AQ148" s="28" t="s">
        <v>521</v>
      </c>
    </row>
    <row r="149" spans="3:5" ht="12.75">
      <c r="C149" s="15" t="s">
        <v>324</v>
      </c>
      <c r="E149" s="19">
        <v>42.48</v>
      </c>
    </row>
    <row r="150" spans="3:5" ht="12.75">
      <c r="C150" s="15" t="s">
        <v>325</v>
      </c>
      <c r="E150" s="19">
        <v>-3.15</v>
      </c>
    </row>
    <row r="151" spans="3:5" ht="12.75">
      <c r="C151" s="15" t="s">
        <v>326</v>
      </c>
      <c r="E151" s="19">
        <v>-2.76</v>
      </c>
    </row>
    <row r="152" spans="3:5" ht="12.75">
      <c r="C152" s="15" t="s">
        <v>327</v>
      </c>
      <c r="E152" s="19">
        <v>-1.77</v>
      </c>
    </row>
    <row r="153" spans="3:5" ht="12.75">
      <c r="C153" s="15" t="s">
        <v>328</v>
      </c>
      <c r="E153" s="19">
        <v>33.09</v>
      </c>
    </row>
    <row r="154" spans="3:5" ht="12.75">
      <c r="C154" s="15" t="s">
        <v>329</v>
      </c>
      <c r="E154" s="19">
        <v>-2.91</v>
      </c>
    </row>
    <row r="155" spans="3:5" ht="12.75">
      <c r="C155" s="15" t="s">
        <v>330</v>
      </c>
      <c r="E155" s="19">
        <v>-1.27</v>
      </c>
    </row>
    <row r="156" spans="3:5" ht="12.75">
      <c r="C156" s="15" t="s">
        <v>331</v>
      </c>
      <c r="E156" s="19">
        <v>-1.24</v>
      </c>
    </row>
    <row r="157" spans="3:5" ht="25.5">
      <c r="C157" s="53" t="s">
        <v>332</v>
      </c>
      <c r="E157" s="19">
        <v>32.53</v>
      </c>
    </row>
    <row r="158" spans="3:5" ht="12.75">
      <c r="C158" s="15" t="s">
        <v>333</v>
      </c>
      <c r="E158" s="19">
        <v>-1.46</v>
      </c>
    </row>
    <row r="159" spans="3:5" ht="12.75">
      <c r="C159" s="15" t="s">
        <v>334</v>
      </c>
      <c r="E159" s="19">
        <v>17.09</v>
      </c>
    </row>
    <row r="160" spans="3:5" ht="12.75">
      <c r="C160" s="15" t="s">
        <v>330</v>
      </c>
      <c r="E160" s="19">
        <v>-1.27</v>
      </c>
    </row>
    <row r="161" spans="3:5" ht="12.75">
      <c r="C161" s="15" t="s">
        <v>335</v>
      </c>
      <c r="E161" s="19">
        <v>9.86</v>
      </c>
    </row>
    <row r="162" spans="3:5" ht="12.75">
      <c r="C162" s="15" t="s">
        <v>336</v>
      </c>
      <c r="E162" s="19">
        <v>1.47</v>
      </c>
    </row>
    <row r="163" spans="1:43" ht="12.75">
      <c r="A163" s="4" t="s">
        <v>63</v>
      </c>
      <c r="B163" s="4" t="s">
        <v>175</v>
      </c>
      <c r="C163" s="4" t="s">
        <v>337</v>
      </c>
      <c r="D163" s="4" t="s">
        <v>447</v>
      </c>
      <c r="E163" s="18">
        <v>120.69</v>
      </c>
      <c r="F163" s="60">
        <v>0</v>
      </c>
      <c r="G163" s="18">
        <f>E163*AE163</f>
        <v>0</v>
      </c>
      <c r="H163" s="18">
        <f>I163-G163</f>
        <v>0</v>
      </c>
      <c r="I163" s="18">
        <f>E163*F163</f>
        <v>0</v>
      </c>
      <c r="J163" s="18">
        <v>0.00504</v>
      </c>
      <c r="K163" s="18">
        <f>E163*J163</f>
        <v>0.6082776</v>
      </c>
      <c r="L163" s="31" t="s">
        <v>471</v>
      </c>
      <c r="N163" s="31" t="s">
        <v>7</v>
      </c>
      <c r="O163" s="18">
        <f>IF(N163="5",H163,0)</f>
        <v>0</v>
      </c>
      <c r="Z163" s="18">
        <f>IF(AD163=0,I163,0)</f>
        <v>0</v>
      </c>
      <c r="AA163" s="18">
        <f>IF(AD163=15,I163,0)</f>
        <v>0</v>
      </c>
      <c r="AB163" s="18">
        <f>IF(AD163=21,I163,0)</f>
        <v>0</v>
      </c>
      <c r="AD163" s="35">
        <v>21</v>
      </c>
      <c r="AE163" s="35">
        <f>F163*0.168739317498674</f>
        <v>0</v>
      </c>
      <c r="AF163" s="35">
        <f>F163*(1-0.168739317498674)</f>
        <v>0</v>
      </c>
      <c r="AM163" s="35">
        <f>E163*AE163</f>
        <v>0</v>
      </c>
      <c r="AN163" s="35">
        <f>E163*AF163</f>
        <v>0</v>
      </c>
      <c r="AO163" s="36" t="s">
        <v>500</v>
      </c>
      <c r="AP163" s="36" t="s">
        <v>519</v>
      </c>
      <c r="AQ163" s="28" t="s">
        <v>521</v>
      </c>
    </row>
    <row r="164" spans="3:5" ht="12.75">
      <c r="C164" s="15" t="s">
        <v>324</v>
      </c>
      <c r="E164" s="19">
        <v>42.48</v>
      </c>
    </row>
    <row r="165" spans="3:5" ht="12.75">
      <c r="C165" s="15" t="s">
        <v>325</v>
      </c>
      <c r="E165" s="19">
        <v>-3.15</v>
      </c>
    </row>
    <row r="166" spans="3:5" ht="12.75">
      <c r="C166" s="15" t="s">
        <v>326</v>
      </c>
      <c r="E166" s="19">
        <v>-2.76</v>
      </c>
    </row>
    <row r="167" spans="3:5" ht="12.75">
      <c r="C167" s="15" t="s">
        <v>327</v>
      </c>
      <c r="E167" s="19">
        <v>-1.77</v>
      </c>
    </row>
    <row r="168" spans="3:5" ht="12.75">
      <c r="C168" s="15" t="s">
        <v>328</v>
      </c>
      <c r="E168" s="19">
        <v>33.09</v>
      </c>
    </row>
    <row r="169" spans="3:5" ht="12.75">
      <c r="C169" s="15" t="s">
        <v>329</v>
      </c>
      <c r="E169" s="19">
        <v>-2.91</v>
      </c>
    </row>
    <row r="170" spans="3:5" ht="12.75">
      <c r="C170" s="15" t="s">
        <v>330</v>
      </c>
      <c r="E170" s="19">
        <v>-1.27</v>
      </c>
    </row>
    <row r="171" spans="3:5" ht="12.75">
      <c r="C171" s="15" t="s">
        <v>331</v>
      </c>
      <c r="E171" s="19">
        <v>-1.24</v>
      </c>
    </row>
    <row r="172" spans="3:5" ht="25.5">
      <c r="C172" s="53" t="s">
        <v>332</v>
      </c>
      <c r="E172" s="19">
        <v>32.53</v>
      </c>
    </row>
    <row r="173" spans="3:5" ht="12.75">
      <c r="C173" s="15" t="s">
        <v>333</v>
      </c>
      <c r="E173" s="19">
        <v>-1.46</v>
      </c>
    </row>
    <row r="174" spans="3:5" ht="12.75">
      <c r="C174" s="15" t="s">
        <v>334</v>
      </c>
      <c r="E174" s="19">
        <v>17.09</v>
      </c>
    </row>
    <row r="175" spans="3:5" ht="12.75">
      <c r="C175" s="15" t="s">
        <v>330</v>
      </c>
      <c r="E175" s="19">
        <v>-1.27</v>
      </c>
    </row>
    <row r="176" spans="3:5" ht="12.75">
      <c r="C176" s="15" t="s">
        <v>335</v>
      </c>
      <c r="E176" s="19">
        <v>9.86</v>
      </c>
    </row>
    <row r="177" spans="3:5" ht="12.75">
      <c r="C177" s="15" t="s">
        <v>336</v>
      </c>
      <c r="E177" s="19">
        <v>1.47</v>
      </c>
    </row>
    <row r="178" spans="1:43" ht="12.75">
      <c r="A178" s="6" t="s">
        <v>64</v>
      </c>
      <c r="B178" s="6" t="s">
        <v>176</v>
      </c>
      <c r="C178" s="6" t="s">
        <v>338</v>
      </c>
      <c r="D178" s="6" t="s">
        <v>447</v>
      </c>
      <c r="E178" s="20">
        <v>100</v>
      </c>
      <c r="F178" s="60">
        <v>0</v>
      </c>
      <c r="G178" s="20">
        <f>E178*AE178</f>
        <v>0</v>
      </c>
      <c r="H178" s="20">
        <f>I178-G178</f>
        <v>0</v>
      </c>
      <c r="I178" s="20">
        <f>E178*F178</f>
        <v>0</v>
      </c>
      <c r="J178" s="20">
        <v>0</v>
      </c>
      <c r="K178" s="20">
        <f>E178*J178</f>
        <v>0</v>
      </c>
      <c r="L178" s="32" t="s">
        <v>472</v>
      </c>
      <c r="N178" s="32" t="s">
        <v>473</v>
      </c>
      <c r="O178" s="20">
        <f>IF(N178="5",H178,0)</f>
        <v>0</v>
      </c>
      <c r="Z178" s="20">
        <f>IF(AD178=0,I178,0)</f>
        <v>0</v>
      </c>
      <c r="AA178" s="20">
        <f>IF(AD178=15,I178,0)</f>
        <v>0</v>
      </c>
      <c r="AB178" s="20">
        <f>IF(AD178=21,I178,0)</f>
        <v>0</v>
      </c>
      <c r="AD178" s="35">
        <v>21</v>
      </c>
      <c r="AE178" s="35">
        <f>F178*1</f>
        <v>0</v>
      </c>
      <c r="AF178" s="35">
        <f>F178*(1-1)</f>
        <v>0</v>
      </c>
      <c r="AM178" s="35">
        <f>E178*AE178</f>
        <v>0</v>
      </c>
      <c r="AN178" s="35">
        <f>E178*AF178</f>
        <v>0</v>
      </c>
      <c r="AO178" s="36" t="s">
        <v>500</v>
      </c>
      <c r="AP178" s="36" t="s">
        <v>519</v>
      </c>
      <c r="AQ178" s="28" t="s">
        <v>521</v>
      </c>
    </row>
    <row r="179" spans="3:5" ht="12.75">
      <c r="C179" s="15" t="s">
        <v>339</v>
      </c>
      <c r="E179" s="19">
        <v>38.05</v>
      </c>
    </row>
    <row r="180" spans="3:5" ht="12.75">
      <c r="C180" s="15" t="s">
        <v>329</v>
      </c>
      <c r="E180" s="19">
        <v>-2.91</v>
      </c>
    </row>
    <row r="181" spans="3:5" ht="12.75">
      <c r="C181" s="15" t="s">
        <v>330</v>
      </c>
      <c r="E181" s="19">
        <v>-1.27</v>
      </c>
    </row>
    <row r="182" spans="3:5" ht="12.75">
      <c r="C182" s="15" t="s">
        <v>331</v>
      </c>
      <c r="E182" s="19">
        <v>-1.24</v>
      </c>
    </row>
    <row r="183" spans="3:5" ht="25.5">
      <c r="C183" s="53" t="s">
        <v>340</v>
      </c>
      <c r="E183" s="19">
        <v>37.41</v>
      </c>
    </row>
    <row r="184" spans="3:5" ht="12.75">
      <c r="C184" s="15" t="s">
        <v>333</v>
      </c>
      <c r="E184" s="19">
        <v>-1.46</v>
      </c>
    </row>
    <row r="185" spans="3:5" ht="12.75">
      <c r="C185" s="15" t="s">
        <v>341</v>
      </c>
      <c r="E185" s="19">
        <v>19.66</v>
      </c>
    </row>
    <row r="186" spans="3:5" ht="12.75">
      <c r="C186" s="15" t="s">
        <v>330</v>
      </c>
      <c r="E186" s="19">
        <v>-1.27</v>
      </c>
    </row>
    <row r="187" spans="3:5" ht="12.75">
      <c r="C187" s="15" t="s">
        <v>342</v>
      </c>
      <c r="E187" s="19">
        <v>11.34</v>
      </c>
    </row>
    <row r="188" spans="3:5" ht="12.75">
      <c r="C188" s="15" t="s">
        <v>343</v>
      </c>
      <c r="E188" s="19">
        <v>1.69</v>
      </c>
    </row>
    <row r="189" spans="1:43" ht="12.75">
      <c r="A189" s="6" t="s">
        <v>65</v>
      </c>
      <c r="B189" s="6" t="s">
        <v>177</v>
      </c>
      <c r="C189" s="6" t="s">
        <v>344</v>
      </c>
      <c r="D189" s="6" t="s">
        <v>447</v>
      </c>
      <c r="E189" s="20">
        <v>41.18</v>
      </c>
      <c r="F189" s="60">
        <v>0</v>
      </c>
      <c r="G189" s="20">
        <f>E189*AE189</f>
        <v>0</v>
      </c>
      <c r="H189" s="20">
        <f>I189-G189</f>
        <v>0</v>
      </c>
      <c r="I189" s="20">
        <f>E189*F189</f>
        <v>0</v>
      </c>
      <c r="J189" s="20">
        <v>0</v>
      </c>
      <c r="K189" s="20">
        <f>E189*J189</f>
        <v>0</v>
      </c>
      <c r="L189" s="32" t="s">
        <v>472</v>
      </c>
      <c r="N189" s="32" t="s">
        <v>473</v>
      </c>
      <c r="O189" s="20">
        <f>IF(N189="5",H189,0)</f>
        <v>0</v>
      </c>
      <c r="Z189" s="20">
        <f>IF(AD189=0,I189,0)</f>
        <v>0</v>
      </c>
      <c r="AA189" s="20">
        <f>IF(AD189=15,I189,0)</f>
        <v>0</v>
      </c>
      <c r="AB189" s="20">
        <f>IF(AD189=21,I189,0)</f>
        <v>0</v>
      </c>
      <c r="AD189" s="35">
        <v>21</v>
      </c>
      <c r="AE189" s="35">
        <f>F189*1</f>
        <v>0</v>
      </c>
      <c r="AF189" s="35">
        <f>F189*(1-1)</f>
        <v>0</v>
      </c>
      <c r="AM189" s="35">
        <f>E189*AE189</f>
        <v>0</v>
      </c>
      <c r="AN189" s="35">
        <f>E189*AF189</f>
        <v>0</v>
      </c>
      <c r="AO189" s="36" t="s">
        <v>500</v>
      </c>
      <c r="AP189" s="36" t="s">
        <v>519</v>
      </c>
      <c r="AQ189" s="28" t="s">
        <v>521</v>
      </c>
    </row>
    <row r="190" spans="3:5" ht="12.75">
      <c r="C190" s="15" t="s">
        <v>345</v>
      </c>
      <c r="E190" s="19">
        <v>48.86</v>
      </c>
    </row>
    <row r="191" spans="3:5" ht="12.75">
      <c r="C191" s="15" t="s">
        <v>325</v>
      </c>
      <c r="E191" s="19">
        <v>-3.15</v>
      </c>
    </row>
    <row r="192" spans="3:5" ht="12.75">
      <c r="C192" s="15" t="s">
        <v>326</v>
      </c>
      <c r="E192" s="19">
        <v>-2.76</v>
      </c>
    </row>
    <row r="193" spans="3:5" ht="12.75">
      <c r="C193" s="15" t="s">
        <v>327</v>
      </c>
      <c r="E193" s="19">
        <v>-1.77</v>
      </c>
    </row>
    <row r="194" spans="1:43" ht="12.75">
      <c r="A194" s="4" t="s">
        <v>66</v>
      </c>
      <c r="B194" s="4" t="s">
        <v>178</v>
      </c>
      <c r="C194" s="4" t="s">
        <v>346</v>
      </c>
      <c r="D194" s="4" t="s">
        <v>448</v>
      </c>
      <c r="E194" s="18">
        <v>80.21</v>
      </c>
      <c r="F194" s="60">
        <v>0</v>
      </c>
      <c r="G194" s="18">
        <f>E194*AE194</f>
        <v>0</v>
      </c>
      <c r="H194" s="18">
        <f>I194-G194</f>
        <v>0</v>
      </c>
      <c r="I194" s="18">
        <f>E194*F194</f>
        <v>0</v>
      </c>
      <c r="J194" s="18">
        <v>0.00043</v>
      </c>
      <c r="K194" s="18">
        <f>E194*J194</f>
        <v>0.034490299999999995</v>
      </c>
      <c r="L194" s="31" t="s">
        <v>471</v>
      </c>
      <c r="N194" s="31" t="s">
        <v>7</v>
      </c>
      <c r="O194" s="18">
        <f>IF(N194="5",H194,0)</f>
        <v>0</v>
      </c>
      <c r="Z194" s="18">
        <f>IF(AD194=0,I194,0)</f>
        <v>0</v>
      </c>
      <c r="AA194" s="18">
        <f>IF(AD194=15,I194,0)</f>
        <v>0</v>
      </c>
      <c r="AB194" s="18">
        <f>IF(AD194=21,I194,0)</f>
        <v>0</v>
      </c>
      <c r="AD194" s="35">
        <v>21</v>
      </c>
      <c r="AE194" s="35">
        <f>F194*0.950204716776572</f>
        <v>0</v>
      </c>
      <c r="AF194" s="35">
        <f>F194*(1-0.950204716776572)</f>
        <v>0</v>
      </c>
      <c r="AM194" s="35">
        <f>E194*AE194</f>
        <v>0</v>
      </c>
      <c r="AN194" s="35">
        <f>E194*AF194</f>
        <v>0</v>
      </c>
      <c r="AO194" s="36" t="s">
        <v>500</v>
      </c>
      <c r="AP194" s="36" t="s">
        <v>519</v>
      </c>
      <c r="AQ194" s="28" t="s">
        <v>521</v>
      </c>
    </row>
    <row r="195" spans="3:5" ht="12.75">
      <c r="C195" s="15" t="s">
        <v>347</v>
      </c>
      <c r="E195" s="19">
        <v>2.15</v>
      </c>
    </row>
    <row r="196" spans="3:5" ht="12.75">
      <c r="C196" s="15" t="s">
        <v>348</v>
      </c>
      <c r="E196" s="19">
        <v>28</v>
      </c>
    </row>
    <row r="197" spans="3:5" ht="12.75">
      <c r="C197" s="15" t="s">
        <v>349</v>
      </c>
      <c r="E197" s="19">
        <v>44.66</v>
      </c>
    </row>
    <row r="198" spans="3:5" ht="12.75">
      <c r="C198" s="15" t="s">
        <v>350</v>
      </c>
      <c r="E198" s="19">
        <v>5.4</v>
      </c>
    </row>
    <row r="199" spans="1:37" ht="12.75">
      <c r="A199" s="5"/>
      <c r="B199" s="13" t="s">
        <v>179</v>
      </c>
      <c r="C199" s="120" t="s">
        <v>351</v>
      </c>
      <c r="D199" s="121"/>
      <c r="E199" s="121"/>
      <c r="F199" s="121"/>
      <c r="G199" s="38">
        <f>SUM(G200:G202)</f>
        <v>0</v>
      </c>
      <c r="H199" s="38">
        <f>SUM(H200:H202)</f>
        <v>0</v>
      </c>
      <c r="I199" s="38">
        <f>G199+H199</f>
        <v>0</v>
      </c>
      <c r="J199" s="28"/>
      <c r="K199" s="38">
        <f>SUM(K200:K202)</f>
        <v>0.0023124</v>
      </c>
      <c r="L199" s="28"/>
      <c r="P199" s="38">
        <f>IF(Q199="PR",I199,SUM(O200:O202))</f>
        <v>0</v>
      </c>
      <c r="Q199" s="28" t="s">
        <v>477</v>
      </c>
      <c r="R199" s="38">
        <f>IF(Q199="HS",G199,0)</f>
        <v>0</v>
      </c>
      <c r="S199" s="38">
        <f>IF(Q199="HS",H199-P199,0)</f>
        <v>0</v>
      </c>
      <c r="T199" s="38">
        <f>IF(Q199="PS",G199,0)</f>
        <v>0</v>
      </c>
      <c r="U199" s="38">
        <f>IF(Q199="PS",H199-P199,0)</f>
        <v>0</v>
      </c>
      <c r="V199" s="38">
        <f>IF(Q199="MP",G199,0)</f>
        <v>0</v>
      </c>
      <c r="W199" s="38">
        <f>IF(Q199="MP",H199-P199,0)</f>
        <v>0</v>
      </c>
      <c r="X199" s="38">
        <f>IF(Q199="OM",G199,0)</f>
        <v>0</v>
      </c>
      <c r="Y199" s="28"/>
      <c r="AI199" s="38">
        <f>SUM(Z200:Z202)</f>
        <v>0</v>
      </c>
      <c r="AJ199" s="38">
        <f>SUM(AA200:AA202)</f>
        <v>0</v>
      </c>
      <c r="AK199" s="38">
        <f>SUM(AB200:AB202)</f>
        <v>0</v>
      </c>
    </row>
    <row r="200" spans="1:43" ht="12.75">
      <c r="A200" s="4" t="s">
        <v>67</v>
      </c>
      <c r="B200" s="4" t="s">
        <v>180</v>
      </c>
      <c r="C200" s="4" t="s">
        <v>352</v>
      </c>
      <c r="D200" s="4" t="s">
        <v>447</v>
      </c>
      <c r="E200" s="18">
        <v>5.64</v>
      </c>
      <c r="F200" s="60">
        <v>0</v>
      </c>
      <c r="G200" s="18">
        <f>E200*AE200</f>
        <v>0</v>
      </c>
      <c r="H200" s="18">
        <f>I200-G200</f>
        <v>0</v>
      </c>
      <c r="I200" s="18">
        <f>E200*F200</f>
        <v>0</v>
      </c>
      <c r="J200" s="18">
        <v>1E-05</v>
      </c>
      <c r="K200" s="18">
        <f>E200*J200</f>
        <v>5.64E-05</v>
      </c>
      <c r="L200" s="31" t="s">
        <v>471</v>
      </c>
      <c r="N200" s="31" t="s">
        <v>9</v>
      </c>
      <c r="O200" s="18">
        <f>IF(N200="5",H200,0)</f>
        <v>0</v>
      </c>
      <c r="Z200" s="18">
        <f>IF(AD200=0,I200,0)</f>
        <v>0</v>
      </c>
      <c r="AA200" s="18">
        <f>IF(AD200=15,I200,0)</f>
        <v>0</v>
      </c>
      <c r="AB200" s="18">
        <f>IF(AD200=21,I200,0)</f>
        <v>0</v>
      </c>
      <c r="AD200" s="35">
        <v>21</v>
      </c>
      <c r="AE200" s="35">
        <f>F200*0.0649484536082474</f>
        <v>0</v>
      </c>
      <c r="AF200" s="35">
        <f>F200*(1-0.0649484536082474)</f>
        <v>0</v>
      </c>
      <c r="AM200" s="35">
        <f>E200*AE200</f>
        <v>0</v>
      </c>
      <c r="AN200" s="35">
        <f>E200*AF200</f>
        <v>0</v>
      </c>
      <c r="AO200" s="36" t="s">
        <v>501</v>
      </c>
      <c r="AP200" s="36" t="s">
        <v>519</v>
      </c>
      <c r="AQ200" s="28" t="s">
        <v>521</v>
      </c>
    </row>
    <row r="201" spans="3:5" ht="12.75">
      <c r="C201" s="15" t="s">
        <v>353</v>
      </c>
      <c r="E201" s="19">
        <v>5.64</v>
      </c>
    </row>
    <row r="202" spans="1:43" ht="12.75">
      <c r="A202" s="4" t="s">
        <v>68</v>
      </c>
      <c r="B202" s="4" t="s">
        <v>181</v>
      </c>
      <c r="C202" s="4" t="s">
        <v>354</v>
      </c>
      <c r="D202" s="4" t="s">
        <v>447</v>
      </c>
      <c r="E202" s="18">
        <v>7.05</v>
      </c>
      <c r="F202" s="60">
        <v>0</v>
      </c>
      <c r="G202" s="18">
        <f>E202*AE202</f>
        <v>0</v>
      </c>
      <c r="H202" s="18">
        <f>I202-G202</f>
        <v>0</v>
      </c>
      <c r="I202" s="18">
        <f>E202*F202</f>
        <v>0</v>
      </c>
      <c r="J202" s="18">
        <v>0.00032</v>
      </c>
      <c r="K202" s="18">
        <f>E202*J202</f>
        <v>0.002256</v>
      </c>
      <c r="L202" s="31" t="s">
        <v>471</v>
      </c>
      <c r="N202" s="31" t="s">
        <v>9</v>
      </c>
      <c r="O202" s="18">
        <f>IF(N202="5",H202,0)</f>
        <v>0</v>
      </c>
      <c r="Z202" s="18">
        <f>IF(AD202=0,I202,0)</f>
        <v>0</v>
      </c>
      <c r="AA202" s="18">
        <f>IF(AD202=15,I202,0)</f>
        <v>0</v>
      </c>
      <c r="AB202" s="18">
        <f>IF(AD202=21,I202,0)</f>
        <v>0</v>
      </c>
      <c r="AD202" s="35">
        <v>21</v>
      </c>
      <c r="AE202" s="35">
        <f>F202*0.216574923547401</f>
        <v>0</v>
      </c>
      <c r="AF202" s="35">
        <f>F202*(1-0.216574923547401)</f>
        <v>0</v>
      </c>
      <c r="AM202" s="35">
        <f>E202*AE202</f>
        <v>0</v>
      </c>
      <c r="AN202" s="35">
        <f>E202*AF202</f>
        <v>0</v>
      </c>
      <c r="AO202" s="36" t="s">
        <v>501</v>
      </c>
      <c r="AP202" s="36" t="s">
        <v>519</v>
      </c>
      <c r="AQ202" s="28" t="s">
        <v>521</v>
      </c>
    </row>
    <row r="203" spans="3:5" ht="12.75">
      <c r="C203" s="15" t="s">
        <v>355</v>
      </c>
      <c r="E203" s="19">
        <v>7.05</v>
      </c>
    </row>
    <row r="204" spans="1:37" ht="12.75">
      <c r="A204" s="5"/>
      <c r="B204" s="13" t="s">
        <v>182</v>
      </c>
      <c r="C204" s="120" t="s">
        <v>356</v>
      </c>
      <c r="D204" s="121"/>
      <c r="E204" s="121"/>
      <c r="F204" s="121"/>
      <c r="G204" s="38">
        <f>SUM(G205:G218)</f>
        <v>0</v>
      </c>
      <c r="H204" s="38">
        <f>SUM(H205:H218)</f>
        <v>0</v>
      </c>
      <c r="I204" s="38">
        <f>G204+H204</f>
        <v>0</v>
      </c>
      <c r="J204" s="28"/>
      <c r="K204" s="38">
        <f>SUM(K205:K218)</f>
        <v>0.0346946</v>
      </c>
      <c r="L204" s="28"/>
      <c r="P204" s="38">
        <f>IF(Q204="PR",I204,SUM(O205:O218))</f>
        <v>0</v>
      </c>
      <c r="Q204" s="28" t="s">
        <v>477</v>
      </c>
      <c r="R204" s="38">
        <f>IF(Q204="HS",G204,0)</f>
        <v>0</v>
      </c>
      <c r="S204" s="38">
        <f>IF(Q204="HS",H204-P204,0)</f>
        <v>0</v>
      </c>
      <c r="T204" s="38">
        <f>IF(Q204="PS",G204,0)</f>
        <v>0</v>
      </c>
      <c r="U204" s="38">
        <f>IF(Q204="PS",H204-P204,0)</f>
        <v>0</v>
      </c>
      <c r="V204" s="38">
        <f>IF(Q204="MP",G204,0)</f>
        <v>0</v>
      </c>
      <c r="W204" s="38">
        <f>IF(Q204="MP",H204-P204,0)</f>
        <v>0</v>
      </c>
      <c r="X204" s="38">
        <f>IF(Q204="OM",G204,0)</f>
        <v>0</v>
      </c>
      <c r="Y204" s="28"/>
      <c r="AI204" s="38">
        <f>SUM(Z205:Z218)</f>
        <v>0</v>
      </c>
      <c r="AJ204" s="38">
        <f>SUM(AA205:AA218)</f>
        <v>0</v>
      </c>
      <c r="AK204" s="38">
        <f>SUM(AB205:AB218)</f>
        <v>0</v>
      </c>
    </row>
    <row r="205" spans="1:43" ht="12.75">
      <c r="A205" s="4" t="s">
        <v>69</v>
      </c>
      <c r="B205" s="4" t="s">
        <v>183</v>
      </c>
      <c r="C205" s="4" t="s">
        <v>357</v>
      </c>
      <c r="D205" s="4" t="s">
        <v>447</v>
      </c>
      <c r="E205" s="18">
        <v>60.86</v>
      </c>
      <c r="F205" s="60">
        <v>0</v>
      </c>
      <c r="G205" s="18">
        <f>E205*AE205</f>
        <v>0</v>
      </c>
      <c r="H205" s="18">
        <f>I205-G205</f>
        <v>0</v>
      </c>
      <c r="I205" s="18">
        <f>E205*F205</f>
        <v>0</v>
      </c>
      <c r="J205" s="18">
        <v>5E-05</v>
      </c>
      <c r="K205" s="18">
        <f>E205*J205</f>
        <v>0.003043</v>
      </c>
      <c r="L205" s="31" t="s">
        <v>471</v>
      </c>
      <c r="N205" s="31" t="s">
        <v>7</v>
      </c>
      <c r="O205" s="18">
        <f>IF(N205="5",H205,0)</f>
        <v>0</v>
      </c>
      <c r="Z205" s="18">
        <f>IF(AD205=0,I205,0)</f>
        <v>0</v>
      </c>
      <c r="AA205" s="18">
        <f>IF(AD205=15,I205,0)</f>
        <v>0</v>
      </c>
      <c r="AB205" s="18">
        <f>IF(AD205=21,I205,0)</f>
        <v>0</v>
      </c>
      <c r="AD205" s="35">
        <v>21</v>
      </c>
      <c r="AE205" s="35">
        <f>F205*0.188617886178862</f>
        <v>0</v>
      </c>
      <c r="AF205" s="35">
        <f>F205*(1-0.188617886178862)</f>
        <v>0</v>
      </c>
      <c r="AM205" s="35">
        <f>E205*AE205</f>
        <v>0</v>
      </c>
      <c r="AN205" s="35">
        <f>E205*AF205</f>
        <v>0</v>
      </c>
      <c r="AO205" s="36" t="s">
        <v>502</v>
      </c>
      <c r="AP205" s="36" t="s">
        <v>519</v>
      </c>
      <c r="AQ205" s="28" t="s">
        <v>521</v>
      </c>
    </row>
    <row r="206" spans="3:5" ht="12.75">
      <c r="C206" s="15" t="s">
        <v>251</v>
      </c>
      <c r="E206" s="19">
        <v>49.45</v>
      </c>
    </row>
    <row r="207" spans="3:5" ht="12.75">
      <c r="C207" s="15" t="s">
        <v>252</v>
      </c>
      <c r="E207" s="19">
        <v>3.07</v>
      </c>
    </row>
    <row r="208" spans="3:5" ht="12.75">
      <c r="C208" s="15" t="s">
        <v>358</v>
      </c>
      <c r="E208" s="19">
        <v>8.34</v>
      </c>
    </row>
    <row r="209" spans="1:43" ht="12.75">
      <c r="A209" s="4" t="s">
        <v>70</v>
      </c>
      <c r="B209" s="4" t="s">
        <v>184</v>
      </c>
      <c r="C209" s="4" t="s">
        <v>359</v>
      </c>
      <c r="D209" s="4" t="s">
        <v>447</v>
      </c>
      <c r="E209" s="18">
        <v>60.86</v>
      </c>
      <c r="F209" s="60">
        <v>0</v>
      </c>
      <c r="G209" s="18">
        <f>E209*AE209</f>
        <v>0</v>
      </c>
      <c r="H209" s="18">
        <f>I209-G209</f>
        <v>0</v>
      </c>
      <c r="I209" s="18">
        <f>E209*F209</f>
        <v>0</v>
      </c>
      <c r="J209" s="18">
        <v>0.0003</v>
      </c>
      <c r="K209" s="18">
        <f>E209*J209</f>
        <v>0.018258</v>
      </c>
      <c r="L209" s="31" t="s">
        <v>471</v>
      </c>
      <c r="N209" s="31" t="s">
        <v>7</v>
      </c>
      <c r="O209" s="18">
        <f>IF(N209="5",H209,0)</f>
        <v>0</v>
      </c>
      <c r="Z209" s="18">
        <f>IF(AD209=0,I209,0)</f>
        <v>0</v>
      </c>
      <c r="AA209" s="18">
        <f>IF(AD209=15,I209,0)</f>
        <v>0</v>
      </c>
      <c r="AB209" s="18">
        <f>IF(AD209=21,I209,0)</f>
        <v>0</v>
      </c>
      <c r="AD209" s="35">
        <v>21</v>
      </c>
      <c r="AE209" s="35">
        <f>F209*0.315972978862497</f>
        <v>0</v>
      </c>
      <c r="AF209" s="35">
        <f>F209*(1-0.315972978862497)</f>
        <v>0</v>
      </c>
      <c r="AM209" s="35">
        <f>E209*AE209</f>
        <v>0</v>
      </c>
      <c r="AN209" s="35">
        <f>E209*AF209</f>
        <v>0</v>
      </c>
      <c r="AO209" s="36" t="s">
        <v>502</v>
      </c>
      <c r="AP209" s="36" t="s">
        <v>519</v>
      </c>
      <c r="AQ209" s="28" t="s">
        <v>521</v>
      </c>
    </row>
    <row r="210" spans="3:5" ht="12.75">
      <c r="C210" s="15" t="s">
        <v>251</v>
      </c>
      <c r="E210" s="19">
        <v>49.45</v>
      </c>
    </row>
    <row r="211" spans="3:5" ht="12.75">
      <c r="C211" s="15" t="s">
        <v>252</v>
      </c>
      <c r="E211" s="19">
        <v>3.07</v>
      </c>
    </row>
    <row r="212" spans="3:5" ht="12.75">
      <c r="C212" s="15" t="s">
        <v>358</v>
      </c>
      <c r="E212" s="19">
        <v>8.34</v>
      </c>
    </row>
    <row r="213" spans="1:43" ht="12.75">
      <c r="A213" s="4" t="s">
        <v>71</v>
      </c>
      <c r="B213" s="4" t="s">
        <v>185</v>
      </c>
      <c r="C213" s="4" t="s">
        <v>360</v>
      </c>
      <c r="D213" s="4" t="s">
        <v>447</v>
      </c>
      <c r="E213" s="18">
        <v>60.88</v>
      </c>
      <c r="F213" s="60">
        <v>0</v>
      </c>
      <c r="G213" s="18">
        <f>E213*AE213</f>
        <v>0</v>
      </c>
      <c r="H213" s="18">
        <f>I213-G213</f>
        <v>0</v>
      </c>
      <c r="I213" s="18">
        <f>E213*F213</f>
        <v>0</v>
      </c>
      <c r="J213" s="18">
        <v>7E-05</v>
      </c>
      <c r="K213" s="18">
        <f>E213*J213</f>
        <v>0.0042616</v>
      </c>
      <c r="L213" s="31" t="s">
        <v>471</v>
      </c>
      <c r="N213" s="31" t="s">
        <v>7</v>
      </c>
      <c r="O213" s="18">
        <f>IF(N213="5",H213,0)</f>
        <v>0</v>
      </c>
      <c r="Z213" s="18">
        <f>IF(AD213=0,I213,0)</f>
        <v>0</v>
      </c>
      <c r="AA213" s="18">
        <f>IF(AD213=15,I213,0)</f>
        <v>0</v>
      </c>
      <c r="AB213" s="18">
        <f>IF(AD213=21,I213,0)</f>
        <v>0</v>
      </c>
      <c r="AD213" s="35">
        <v>21</v>
      </c>
      <c r="AE213" s="35">
        <f>F213*0.3</f>
        <v>0</v>
      </c>
      <c r="AF213" s="35">
        <f>F213*(1-0.3)</f>
        <v>0</v>
      </c>
      <c r="AM213" s="35">
        <f>E213*AE213</f>
        <v>0</v>
      </c>
      <c r="AN213" s="35">
        <f>E213*AF213</f>
        <v>0</v>
      </c>
      <c r="AO213" s="36" t="s">
        <v>502</v>
      </c>
      <c r="AP213" s="36" t="s">
        <v>519</v>
      </c>
      <c r="AQ213" s="28" t="s">
        <v>521</v>
      </c>
    </row>
    <row r="214" spans="3:5" ht="12.75">
      <c r="C214" s="15" t="s">
        <v>361</v>
      </c>
      <c r="E214" s="19">
        <v>53.5</v>
      </c>
    </row>
    <row r="215" spans="3:5" ht="12.75">
      <c r="C215" s="15" t="s">
        <v>329</v>
      </c>
      <c r="E215" s="19">
        <v>-2.91</v>
      </c>
    </row>
    <row r="216" spans="3:5" ht="12.75">
      <c r="C216" s="15" t="s">
        <v>362</v>
      </c>
      <c r="E216" s="19">
        <v>-2.55</v>
      </c>
    </row>
    <row r="217" spans="3:5" ht="12.75">
      <c r="C217" s="15" t="s">
        <v>363</v>
      </c>
      <c r="E217" s="19">
        <v>12.84</v>
      </c>
    </row>
    <row r="218" spans="1:43" ht="12.75">
      <c r="A218" s="4" t="s">
        <v>72</v>
      </c>
      <c r="B218" s="4" t="s">
        <v>186</v>
      </c>
      <c r="C218" s="4" t="s">
        <v>364</v>
      </c>
      <c r="D218" s="4" t="s">
        <v>447</v>
      </c>
      <c r="E218" s="18">
        <v>60.88</v>
      </c>
      <c r="F218" s="60">
        <v>0</v>
      </c>
      <c r="G218" s="18">
        <f>E218*AE218</f>
        <v>0</v>
      </c>
      <c r="H218" s="18">
        <f>I218-G218</f>
        <v>0</v>
      </c>
      <c r="I218" s="18">
        <f>E218*F218</f>
        <v>0</v>
      </c>
      <c r="J218" s="18">
        <v>0.00015</v>
      </c>
      <c r="K218" s="18">
        <f>E218*J218</f>
        <v>0.009132</v>
      </c>
      <c r="L218" s="31" t="s">
        <v>471</v>
      </c>
      <c r="N218" s="31" t="s">
        <v>7</v>
      </c>
      <c r="O218" s="18">
        <f>IF(N218="5",H218,0)</f>
        <v>0</v>
      </c>
      <c r="Z218" s="18">
        <f>IF(AD218=0,I218,0)</f>
        <v>0</v>
      </c>
      <c r="AA218" s="18">
        <f>IF(AD218=15,I218,0)</f>
        <v>0</v>
      </c>
      <c r="AB218" s="18">
        <f>IF(AD218=21,I218,0)</f>
        <v>0</v>
      </c>
      <c r="AD218" s="35">
        <v>21</v>
      </c>
      <c r="AE218" s="35">
        <f>F218*0.114156541395875</f>
        <v>0</v>
      </c>
      <c r="AF218" s="35">
        <f>F218*(1-0.114156541395875)</f>
        <v>0</v>
      </c>
      <c r="AM218" s="35">
        <f>E218*AE218</f>
        <v>0</v>
      </c>
      <c r="AN218" s="35">
        <f>E218*AF218</f>
        <v>0</v>
      </c>
      <c r="AO218" s="36" t="s">
        <v>502</v>
      </c>
      <c r="AP218" s="36" t="s">
        <v>519</v>
      </c>
      <c r="AQ218" s="28" t="s">
        <v>521</v>
      </c>
    </row>
    <row r="219" spans="3:5" ht="12.75">
      <c r="C219" s="15" t="s">
        <v>361</v>
      </c>
      <c r="E219" s="19">
        <v>53.5</v>
      </c>
    </row>
    <row r="220" spans="3:5" ht="12.75">
      <c r="C220" s="15" t="s">
        <v>329</v>
      </c>
      <c r="E220" s="19">
        <v>-2.91</v>
      </c>
    </row>
    <row r="221" spans="3:5" ht="12.75">
      <c r="C221" s="15" t="s">
        <v>362</v>
      </c>
      <c r="E221" s="19">
        <v>-2.55</v>
      </c>
    </row>
    <row r="222" spans="3:5" ht="12.75">
      <c r="C222" s="15" t="s">
        <v>363</v>
      </c>
      <c r="E222" s="19">
        <v>12.84</v>
      </c>
    </row>
    <row r="223" spans="1:37" ht="12.75">
      <c r="A223" s="5"/>
      <c r="B223" s="13" t="s">
        <v>100</v>
      </c>
      <c r="C223" s="120" t="s">
        <v>365</v>
      </c>
      <c r="D223" s="121"/>
      <c r="E223" s="121"/>
      <c r="F223" s="121"/>
      <c r="G223" s="38">
        <f>SUM(G224:G227)</f>
        <v>0</v>
      </c>
      <c r="H223" s="38">
        <f>SUM(H224:H227)</f>
        <v>0</v>
      </c>
      <c r="I223" s="38">
        <f>G223+H223</f>
        <v>0</v>
      </c>
      <c r="J223" s="28"/>
      <c r="K223" s="38">
        <f>SUM(K224:K227)</f>
        <v>0.15793420000000002</v>
      </c>
      <c r="L223" s="28"/>
      <c r="P223" s="38">
        <f>IF(Q223="PR",I223,SUM(O224:O227))</f>
        <v>0</v>
      </c>
      <c r="Q223" s="28" t="s">
        <v>476</v>
      </c>
      <c r="R223" s="38">
        <f>IF(Q223="HS",G223,0)</f>
        <v>0</v>
      </c>
      <c r="S223" s="38">
        <f>IF(Q223="HS",H223-P223,0)</f>
        <v>0</v>
      </c>
      <c r="T223" s="38">
        <f>IF(Q223="PS",G223,0)</f>
        <v>0</v>
      </c>
      <c r="U223" s="38">
        <f>IF(Q223="PS",H223-P223,0)</f>
        <v>0</v>
      </c>
      <c r="V223" s="38">
        <f>IF(Q223="MP",G223,0)</f>
        <v>0</v>
      </c>
      <c r="W223" s="38">
        <f>IF(Q223="MP",H223-P223,0)</f>
        <v>0</v>
      </c>
      <c r="X223" s="38">
        <f>IF(Q223="OM",G223,0)</f>
        <v>0</v>
      </c>
      <c r="Y223" s="28"/>
      <c r="AI223" s="38">
        <f>SUM(Z224:Z227)</f>
        <v>0</v>
      </c>
      <c r="AJ223" s="38">
        <f>SUM(AA224:AA227)</f>
        <v>0</v>
      </c>
      <c r="AK223" s="38">
        <f>SUM(AB224:AB227)</f>
        <v>0</v>
      </c>
    </row>
    <row r="224" spans="1:43" ht="12.75">
      <c r="A224" s="4" t="s">
        <v>73</v>
      </c>
      <c r="B224" s="4" t="s">
        <v>187</v>
      </c>
      <c r="C224" s="4" t="s">
        <v>366</v>
      </c>
      <c r="D224" s="4" t="s">
        <v>447</v>
      </c>
      <c r="E224" s="18">
        <v>10</v>
      </c>
      <c r="F224" s="60">
        <v>0</v>
      </c>
      <c r="G224" s="18">
        <f>E224*AE224</f>
        <v>0</v>
      </c>
      <c r="H224" s="18">
        <f>I224-G224</f>
        <v>0</v>
      </c>
      <c r="I224" s="18">
        <f>E224*F224</f>
        <v>0</v>
      </c>
      <c r="J224" s="18">
        <v>0.00592</v>
      </c>
      <c r="K224" s="18">
        <f>E224*J224</f>
        <v>0.0592</v>
      </c>
      <c r="L224" s="31" t="s">
        <v>471</v>
      </c>
      <c r="N224" s="31" t="s">
        <v>7</v>
      </c>
      <c r="O224" s="18">
        <f>IF(N224="5",H224,0)</f>
        <v>0</v>
      </c>
      <c r="Z224" s="18">
        <f>IF(AD224=0,I224,0)</f>
        <v>0</v>
      </c>
      <c r="AA224" s="18">
        <f>IF(AD224=15,I224,0)</f>
        <v>0</v>
      </c>
      <c r="AB224" s="18">
        <f>IF(AD224=21,I224,0)</f>
        <v>0</v>
      </c>
      <c r="AD224" s="35">
        <v>21</v>
      </c>
      <c r="AE224" s="35">
        <f>F224*0.524842105263158</f>
        <v>0</v>
      </c>
      <c r="AF224" s="35">
        <f>F224*(1-0.524842105263158)</f>
        <v>0</v>
      </c>
      <c r="AM224" s="35">
        <f>E224*AE224</f>
        <v>0</v>
      </c>
      <c r="AN224" s="35">
        <f>E224*AF224</f>
        <v>0</v>
      </c>
      <c r="AO224" s="36" t="s">
        <v>503</v>
      </c>
      <c r="AP224" s="36" t="s">
        <v>520</v>
      </c>
      <c r="AQ224" s="28" t="s">
        <v>521</v>
      </c>
    </row>
    <row r="225" spans="3:5" ht="12.75">
      <c r="C225" s="15" t="s">
        <v>367</v>
      </c>
      <c r="E225" s="19">
        <v>5</v>
      </c>
    </row>
    <row r="226" spans="3:5" ht="12.75">
      <c r="C226" s="15" t="s">
        <v>367</v>
      </c>
      <c r="E226" s="19">
        <v>5</v>
      </c>
    </row>
    <row r="227" spans="1:43" ht="12.75">
      <c r="A227" s="4" t="s">
        <v>74</v>
      </c>
      <c r="B227" s="4" t="s">
        <v>188</v>
      </c>
      <c r="C227" s="4" t="s">
        <v>368</v>
      </c>
      <c r="D227" s="4" t="s">
        <v>447</v>
      </c>
      <c r="E227" s="18">
        <v>62.49</v>
      </c>
      <c r="F227" s="60">
        <v>0</v>
      </c>
      <c r="G227" s="18">
        <f>E227*AE227</f>
        <v>0</v>
      </c>
      <c r="H227" s="18">
        <f>I227-G227</f>
        <v>0</v>
      </c>
      <c r="I227" s="18">
        <f>E227*F227</f>
        <v>0</v>
      </c>
      <c r="J227" s="18">
        <v>0.00158</v>
      </c>
      <c r="K227" s="18">
        <f>E227*J227</f>
        <v>0.09873420000000001</v>
      </c>
      <c r="L227" s="31" t="s">
        <v>471</v>
      </c>
      <c r="N227" s="31" t="s">
        <v>7</v>
      </c>
      <c r="O227" s="18">
        <f>IF(N227="5",H227,0)</f>
        <v>0</v>
      </c>
      <c r="Z227" s="18">
        <f>IF(AD227=0,I227,0)</f>
        <v>0</v>
      </c>
      <c r="AA227" s="18">
        <f>IF(AD227=15,I227,0)</f>
        <v>0</v>
      </c>
      <c r="AB227" s="18">
        <f>IF(AD227=21,I227,0)</f>
        <v>0</v>
      </c>
      <c r="AD227" s="35">
        <v>21</v>
      </c>
      <c r="AE227" s="35">
        <f>F227*0.463173076923077</f>
        <v>0</v>
      </c>
      <c r="AF227" s="35">
        <f>F227*(1-0.463173076923077)</f>
        <v>0</v>
      </c>
      <c r="AM227" s="35">
        <f>E227*AE227</f>
        <v>0</v>
      </c>
      <c r="AN227" s="35">
        <f>E227*AF227</f>
        <v>0</v>
      </c>
      <c r="AO227" s="36" t="s">
        <v>503</v>
      </c>
      <c r="AP227" s="36" t="s">
        <v>520</v>
      </c>
      <c r="AQ227" s="28" t="s">
        <v>521</v>
      </c>
    </row>
    <row r="228" spans="3:5" ht="12.75">
      <c r="C228" s="15" t="s">
        <v>369</v>
      </c>
      <c r="E228" s="19">
        <v>62.49</v>
      </c>
    </row>
    <row r="229" spans="1:37" ht="12.75">
      <c r="A229" s="5"/>
      <c r="B229" s="13" t="s">
        <v>101</v>
      </c>
      <c r="C229" s="120" t="s">
        <v>370</v>
      </c>
      <c r="D229" s="121"/>
      <c r="E229" s="121"/>
      <c r="F229" s="121"/>
      <c r="G229" s="38">
        <f>SUM(G230:G240)</f>
        <v>0</v>
      </c>
      <c r="H229" s="38">
        <f>SUM(H230:H240)</f>
        <v>0</v>
      </c>
      <c r="I229" s="38">
        <f>G229+H229</f>
        <v>0</v>
      </c>
      <c r="J229" s="28"/>
      <c r="K229" s="38">
        <f>SUM(K230:K240)</f>
        <v>0.0035416000000000007</v>
      </c>
      <c r="L229" s="28"/>
      <c r="P229" s="38">
        <f>IF(Q229="PR",I229,SUM(O230:O240))</f>
        <v>0</v>
      </c>
      <c r="Q229" s="28" t="s">
        <v>476</v>
      </c>
      <c r="R229" s="38">
        <f>IF(Q229="HS",G229,0)</f>
        <v>0</v>
      </c>
      <c r="S229" s="38">
        <f>IF(Q229="HS",H229-P229,0)</f>
        <v>0</v>
      </c>
      <c r="T229" s="38">
        <f>IF(Q229="PS",G229,0)</f>
        <v>0</v>
      </c>
      <c r="U229" s="38">
        <f>IF(Q229="PS",H229-P229,0)</f>
        <v>0</v>
      </c>
      <c r="V229" s="38">
        <f>IF(Q229="MP",G229,0)</f>
        <v>0</v>
      </c>
      <c r="W229" s="38">
        <f>IF(Q229="MP",H229-P229,0)</f>
        <v>0</v>
      </c>
      <c r="X229" s="38">
        <f>IF(Q229="OM",G229,0)</f>
        <v>0</v>
      </c>
      <c r="Y229" s="28"/>
      <c r="AI229" s="38">
        <f>SUM(Z230:Z240)</f>
        <v>0</v>
      </c>
      <c r="AJ229" s="38">
        <f>SUM(AA230:AA240)</f>
        <v>0</v>
      </c>
      <c r="AK229" s="38">
        <f>SUM(AB230:AB240)</f>
        <v>0</v>
      </c>
    </row>
    <row r="230" spans="1:43" ht="12.75">
      <c r="A230" s="4" t="s">
        <v>75</v>
      </c>
      <c r="B230" s="4" t="s">
        <v>189</v>
      </c>
      <c r="C230" s="4" t="s">
        <v>371</v>
      </c>
      <c r="D230" s="4" t="s">
        <v>446</v>
      </c>
      <c r="E230" s="18">
        <v>1</v>
      </c>
      <c r="F230" s="60">
        <v>0</v>
      </c>
      <c r="G230" s="18">
        <f>E230*AE230</f>
        <v>0</v>
      </c>
      <c r="H230" s="18">
        <f>I230-G230</f>
        <v>0</v>
      </c>
      <c r="I230" s="18">
        <f>E230*F230</f>
        <v>0</v>
      </c>
      <c r="J230" s="18">
        <v>0</v>
      </c>
      <c r="K230" s="18">
        <f>E230*J230</f>
        <v>0</v>
      </c>
      <c r="L230" s="31" t="s">
        <v>472</v>
      </c>
      <c r="N230" s="31" t="s">
        <v>7</v>
      </c>
      <c r="O230" s="18">
        <f>IF(N230="5",H230,0)</f>
        <v>0</v>
      </c>
      <c r="Z230" s="18">
        <f>IF(AD230=0,I230,0)</f>
        <v>0</v>
      </c>
      <c r="AA230" s="18">
        <f>IF(AD230=15,I230,0)</f>
        <v>0</v>
      </c>
      <c r="AB230" s="18">
        <f>IF(AD230=21,I230,0)</f>
        <v>0</v>
      </c>
      <c r="AD230" s="35">
        <v>21</v>
      </c>
      <c r="AE230" s="35">
        <f>F230*0.122328767123288</f>
        <v>0</v>
      </c>
      <c r="AF230" s="35">
        <f>F230*(1-0.122328767123288)</f>
        <v>0</v>
      </c>
      <c r="AM230" s="35">
        <f>E230*AE230</f>
        <v>0</v>
      </c>
      <c r="AN230" s="35">
        <f>E230*AF230</f>
        <v>0</v>
      </c>
      <c r="AO230" s="36" t="s">
        <v>504</v>
      </c>
      <c r="AP230" s="36" t="s">
        <v>520</v>
      </c>
      <c r="AQ230" s="28" t="s">
        <v>521</v>
      </c>
    </row>
    <row r="231" spans="3:5" ht="12.75">
      <c r="C231" s="15" t="s">
        <v>7</v>
      </c>
      <c r="E231" s="19">
        <v>1</v>
      </c>
    </row>
    <row r="232" spans="1:43" ht="12.75">
      <c r="A232" s="4" t="s">
        <v>76</v>
      </c>
      <c r="B232" s="4" t="s">
        <v>190</v>
      </c>
      <c r="C232" s="4" t="s">
        <v>372</v>
      </c>
      <c r="D232" s="4" t="s">
        <v>447</v>
      </c>
      <c r="E232" s="18">
        <v>70.61</v>
      </c>
      <c r="F232" s="60">
        <v>0</v>
      </c>
      <c r="G232" s="18">
        <f>E232*AE232</f>
        <v>0</v>
      </c>
      <c r="H232" s="18">
        <f>I232-G232</f>
        <v>0</v>
      </c>
      <c r="I232" s="18">
        <f>E232*F232</f>
        <v>0</v>
      </c>
      <c r="J232" s="18">
        <v>0</v>
      </c>
      <c r="K232" s="18">
        <f>E232*J232</f>
        <v>0</v>
      </c>
      <c r="L232" s="31" t="s">
        <v>471</v>
      </c>
      <c r="N232" s="31" t="s">
        <v>7</v>
      </c>
      <c r="O232" s="18">
        <f>IF(N232="5",H232,0)</f>
        <v>0</v>
      </c>
      <c r="Z232" s="18">
        <f>IF(AD232=0,I232,0)</f>
        <v>0</v>
      </c>
      <c r="AA232" s="18">
        <f>IF(AD232=15,I232,0)</f>
        <v>0</v>
      </c>
      <c r="AB232" s="18">
        <f>IF(AD232=21,I232,0)</f>
        <v>0</v>
      </c>
      <c r="AD232" s="35">
        <v>21</v>
      </c>
      <c r="AE232" s="35">
        <f>F232*0</f>
        <v>0</v>
      </c>
      <c r="AF232" s="35">
        <f>F232*(1-0)</f>
        <v>0</v>
      </c>
      <c r="AM232" s="35">
        <f>E232*AE232</f>
        <v>0</v>
      </c>
      <c r="AN232" s="35">
        <f>E232*AF232</f>
        <v>0</v>
      </c>
      <c r="AO232" s="36" t="s">
        <v>504</v>
      </c>
      <c r="AP232" s="36" t="s">
        <v>520</v>
      </c>
      <c r="AQ232" s="28" t="s">
        <v>521</v>
      </c>
    </row>
    <row r="233" spans="3:5" ht="12.75">
      <c r="C233" s="15" t="s">
        <v>373</v>
      </c>
      <c r="E233" s="19">
        <v>70.61</v>
      </c>
    </row>
    <row r="234" spans="1:43" ht="12.75">
      <c r="A234" s="4" t="s">
        <v>77</v>
      </c>
      <c r="B234" s="4" t="s">
        <v>191</v>
      </c>
      <c r="C234" s="4" t="s">
        <v>374</v>
      </c>
      <c r="D234" s="4" t="s">
        <v>447</v>
      </c>
      <c r="E234" s="18">
        <v>88.54</v>
      </c>
      <c r="F234" s="60">
        <v>0</v>
      </c>
      <c r="G234" s="18">
        <f>E234*AE234</f>
        <v>0</v>
      </c>
      <c r="H234" s="18">
        <f>I234-G234</f>
        <v>0</v>
      </c>
      <c r="I234" s="18">
        <f>E234*F234</f>
        <v>0</v>
      </c>
      <c r="J234" s="18">
        <v>4E-05</v>
      </c>
      <c r="K234" s="18">
        <f>E234*J234</f>
        <v>0.0035416000000000007</v>
      </c>
      <c r="L234" s="31" t="s">
        <v>471</v>
      </c>
      <c r="N234" s="31" t="s">
        <v>7</v>
      </c>
      <c r="O234" s="18">
        <f>IF(N234="5",H234,0)</f>
        <v>0</v>
      </c>
      <c r="Z234" s="18">
        <f>IF(AD234=0,I234,0)</f>
        <v>0</v>
      </c>
      <c r="AA234" s="18">
        <f>IF(AD234=15,I234,0)</f>
        <v>0</v>
      </c>
      <c r="AB234" s="18">
        <f>IF(AD234=21,I234,0)</f>
        <v>0</v>
      </c>
      <c r="AD234" s="35">
        <v>21</v>
      </c>
      <c r="AE234" s="35">
        <f>F234*0.0188928524243625</f>
        <v>0</v>
      </c>
      <c r="AF234" s="35">
        <f>F234*(1-0.0188928524243625)</f>
        <v>0</v>
      </c>
      <c r="AM234" s="35">
        <f>E234*AE234</f>
        <v>0</v>
      </c>
      <c r="AN234" s="35">
        <f>E234*AF234</f>
        <v>0</v>
      </c>
      <c r="AO234" s="36" t="s">
        <v>504</v>
      </c>
      <c r="AP234" s="36" t="s">
        <v>520</v>
      </c>
      <c r="AQ234" s="28" t="s">
        <v>521</v>
      </c>
    </row>
    <row r="235" spans="3:5" ht="12.75">
      <c r="C235" s="15" t="s">
        <v>375</v>
      </c>
      <c r="E235" s="19">
        <v>88.54</v>
      </c>
    </row>
    <row r="236" spans="1:43" ht="12.75">
      <c r="A236" s="4" t="s">
        <v>78</v>
      </c>
      <c r="B236" s="4" t="s">
        <v>192</v>
      </c>
      <c r="C236" s="4" t="s">
        <v>376</v>
      </c>
      <c r="D236" s="4" t="s">
        <v>451</v>
      </c>
      <c r="E236" s="18">
        <v>1</v>
      </c>
      <c r="F236" s="60">
        <v>0</v>
      </c>
      <c r="G236" s="18">
        <f>E236*AE236</f>
        <v>0</v>
      </c>
      <c r="H236" s="18">
        <f>I236-G236</f>
        <v>0</v>
      </c>
      <c r="I236" s="18">
        <f>E236*F236</f>
        <v>0</v>
      </c>
      <c r="J236" s="18">
        <v>0</v>
      </c>
      <c r="K236" s="18">
        <f>E236*J236</f>
        <v>0</v>
      </c>
      <c r="L236" s="31" t="s">
        <v>472</v>
      </c>
      <c r="N236" s="31" t="s">
        <v>7</v>
      </c>
      <c r="O236" s="18">
        <f>IF(N236="5",H236,0)</f>
        <v>0</v>
      </c>
      <c r="Z236" s="18">
        <f>IF(AD236=0,I236,0)</f>
        <v>0</v>
      </c>
      <c r="AA236" s="18">
        <f>IF(AD236=15,I236,0)</f>
        <v>0</v>
      </c>
      <c r="AB236" s="18">
        <f>IF(AD236=21,I236,0)</f>
        <v>0</v>
      </c>
      <c r="AD236" s="35">
        <v>21</v>
      </c>
      <c r="AE236" s="35">
        <f>F236*0</f>
        <v>0</v>
      </c>
      <c r="AF236" s="35">
        <f>F236*(1-0)</f>
        <v>0</v>
      </c>
      <c r="AM236" s="35">
        <f>E236*AE236</f>
        <v>0</v>
      </c>
      <c r="AN236" s="35">
        <f>E236*AF236</f>
        <v>0</v>
      </c>
      <c r="AO236" s="36" t="s">
        <v>504</v>
      </c>
      <c r="AP236" s="36" t="s">
        <v>520</v>
      </c>
      <c r="AQ236" s="28" t="s">
        <v>521</v>
      </c>
    </row>
    <row r="237" spans="3:5" ht="12.75">
      <c r="C237" s="15" t="s">
        <v>7</v>
      </c>
      <c r="E237" s="19">
        <v>1</v>
      </c>
    </row>
    <row r="238" spans="1:43" ht="12.75">
      <c r="A238" s="4" t="s">
        <v>79</v>
      </c>
      <c r="B238" s="4" t="s">
        <v>193</v>
      </c>
      <c r="C238" s="4" t="s">
        <v>377</v>
      </c>
      <c r="D238" s="4" t="s">
        <v>448</v>
      </c>
      <c r="E238" s="18">
        <v>22.33</v>
      </c>
      <c r="F238" s="60">
        <v>0</v>
      </c>
      <c r="G238" s="18">
        <f>E238*AE238</f>
        <v>0</v>
      </c>
      <c r="H238" s="18">
        <f>I238-G238</f>
        <v>0</v>
      </c>
      <c r="I238" s="18">
        <f>E238*F238</f>
        <v>0</v>
      </c>
      <c r="J238" s="18">
        <v>0</v>
      </c>
      <c r="K238" s="18">
        <f>E238*J238</f>
        <v>0</v>
      </c>
      <c r="L238" s="31" t="s">
        <v>472</v>
      </c>
      <c r="N238" s="31" t="s">
        <v>7</v>
      </c>
      <c r="O238" s="18">
        <f>IF(N238="5",H238,0)</f>
        <v>0</v>
      </c>
      <c r="Z238" s="18">
        <f>IF(AD238=0,I238,0)</f>
        <v>0</v>
      </c>
      <c r="AA238" s="18">
        <f>IF(AD238=15,I238,0)</f>
        <v>0</v>
      </c>
      <c r="AB238" s="18">
        <f>IF(AD238=21,I238,0)</f>
        <v>0</v>
      </c>
      <c r="AD238" s="35">
        <v>21</v>
      </c>
      <c r="AE238" s="35">
        <f>F238*0.6</f>
        <v>0</v>
      </c>
      <c r="AF238" s="35">
        <f>F238*(1-0.6)</f>
        <v>0</v>
      </c>
      <c r="AM238" s="35">
        <f>E238*AE238</f>
        <v>0</v>
      </c>
      <c r="AN238" s="35">
        <f>E238*AF238</f>
        <v>0</v>
      </c>
      <c r="AO238" s="36" t="s">
        <v>504</v>
      </c>
      <c r="AP238" s="36" t="s">
        <v>520</v>
      </c>
      <c r="AQ238" s="28" t="s">
        <v>521</v>
      </c>
    </row>
    <row r="239" spans="3:5" ht="12.75">
      <c r="C239" s="15" t="s">
        <v>378</v>
      </c>
      <c r="E239" s="19">
        <v>22.33</v>
      </c>
    </row>
    <row r="240" spans="1:43" ht="12.75">
      <c r="A240" s="4" t="s">
        <v>80</v>
      </c>
      <c r="B240" s="4" t="s">
        <v>194</v>
      </c>
      <c r="C240" s="4" t="s">
        <v>379</v>
      </c>
      <c r="D240" s="4" t="s">
        <v>447</v>
      </c>
      <c r="E240" s="18">
        <v>67.69</v>
      </c>
      <c r="F240" s="60">
        <v>0</v>
      </c>
      <c r="G240" s="18">
        <f>E240*AE240</f>
        <v>0</v>
      </c>
      <c r="H240" s="18">
        <f>I240-G240</f>
        <v>0</v>
      </c>
      <c r="I240" s="18">
        <f>E240*F240</f>
        <v>0</v>
      </c>
      <c r="J240" s="18">
        <v>0</v>
      </c>
      <c r="K240" s="18">
        <f>E240*J240</f>
        <v>0</v>
      </c>
      <c r="L240" s="31" t="s">
        <v>472</v>
      </c>
      <c r="N240" s="31" t="s">
        <v>7</v>
      </c>
      <c r="O240" s="18">
        <f>IF(N240="5",H240,0)</f>
        <v>0</v>
      </c>
      <c r="Z240" s="18">
        <f>IF(AD240=0,I240,0)</f>
        <v>0</v>
      </c>
      <c r="AA240" s="18">
        <f>IF(AD240=15,I240,0)</f>
        <v>0</v>
      </c>
      <c r="AB240" s="18">
        <f>IF(AD240=21,I240,0)</f>
        <v>0</v>
      </c>
      <c r="AD240" s="35">
        <v>21</v>
      </c>
      <c r="AE240" s="35">
        <f>F240*0.66784765279008</f>
        <v>0</v>
      </c>
      <c r="AF240" s="35">
        <f>F240*(1-0.66784765279008)</f>
        <v>0</v>
      </c>
      <c r="AM240" s="35">
        <f>E240*AE240</f>
        <v>0</v>
      </c>
      <c r="AN240" s="35">
        <f>E240*AF240</f>
        <v>0</v>
      </c>
      <c r="AO240" s="36" t="s">
        <v>504</v>
      </c>
      <c r="AP240" s="36" t="s">
        <v>520</v>
      </c>
      <c r="AQ240" s="28" t="s">
        <v>521</v>
      </c>
    </row>
    <row r="241" spans="3:5" ht="12.75">
      <c r="C241" s="15" t="s">
        <v>380</v>
      </c>
      <c r="E241" s="19">
        <v>70.6</v>
      </c>
    </row>
    <row r="242" spans="3:5" ht="12.75">
      <c r="C242" s="15" t="s">
        <v>381</v>
      </c>
      <c r="E242" s="19">
        <v>-1.64</v>
      </c>
    </row>
    <row r="243" spans="3:5" ht="12.75">
      <c r="C243" s="15" t="s">
        <v>330</v>
      </c>
      <c r="E243" s="19">
        <v>-1.27</v>
      </c>
    </row>
    <row r="244" spans="1:37" ht="12.75">
      <c r="A244" s="5"/>
      <c r="B244" s="13" t="s">
        <v>102</v>
      </c>
      <c r="C244" s="120" t="s">
        <v>382</v>
      </c>
      <c r="D244" s="121"/>
      <c r="E244" s="121"/>
      <c r="F244" s="121"/>
      <c r="G244" s="38">
        <f>SUM(G245:G264)</f>
        <v>0</v>
      </c>
      <c r="H244" s="38">
        <f>SUM(H245:H264)</f>
        <v>0</v>
      </c>
      <c r="I244" s="38">
        <f>G244+H244</f>
        <v>0</v>
      </c>
      <c r="J244" s="28"/>
      <c r="K244" s="38">
        <f>SUM(K245:K264)</f>
        <v>4.1822642000000005</v>
      </c>
      <c r="L244" s="28"/>
      <c r="P244" s="38">
        <f>IF(Q244="PR",I244,SUM(O245:O264))</f>
        <v>0</v>
      </c>
      <c r="Q244" s="28" t="s">
        <v>476</v>
      </c>
      <c r="R244" s="38">
        <f>IF(Q244="HS",G244,0)</f>
        <v>0</v>
      </c>
      <c r="S244" s="38">
        <f>IF(Q244="HS",H244-P244,0)</f>
        <v>0</v>
      </c>
      <c r="T244" s="38">
        <f>IF(Q244="PS",G244,0)</f>
        <v>0</v>
      </c>
      <c r="U244" s="38">
        <f>IF(Q244="PS",H244-P244,0)</f>
        <v>0</v>
      </c>
      <c r="V244" s="38">
        <f>IF(Q244="MP",G244,0)</f>
        <v>0</v>
      </c>
      <c r="W244" s="38">
        <f>IF(Q244="MP",H244-P244,0)</f>
        <v>0</v>
      </c>
      <c r="X244" s="38">
        <f>IF(Q244="OM",G244,0)</f>
        <v>0</v>
      </c>
      <c r="Y244" s="28"/>
      <c r="AI244" s="38">
        <f>SUM(Z245:Z264)</f>
        <v>0</v>
      </c>
      <c r="AJ244" s="38">
        <f>SUM(AA245:AA264)</f>
        <v>0</v>
      </c>
      <c r="AK244" s="38">
        <f>SUM(AB245:AB264)</f>
        <v>0</v>
      </c>
    </row>
    <row r="245" spans="1:43" ht="12.75">
      <c r="A245" s="4" t="s">
        <v>81</v>
      </c>
      <c r="B245" s="4" t="s">
        <v>195</v>
      </c>
      <c r="C245" s="4" t="s">
        <v>383</v>
      </c>
      <c r="D245" s="4" t="s">
        <v>447</v>
      </c>
      <c r="E245" s="18">
        <v>62.35</v>
      </c>
      <c r="F245" s="60">
        <v>0</v>
      </c>
      <c r="G245" s="18">
        <f>E245*AE245</f>
        <v>0</v>
      </c>
      <c r="H245" s="18">
        <f>I245-G245</f>
        <v>0</v>
      </c>
      <c r="I245" s="18">
        <f>E245*F245</f>
        <v>0</v>
      </c>
      <c r="J245" s="18">
        <v>0.01216</v>
      </c>
      <c r="K245" s="18">
        <f>E245*J245</f>
        <v>0.7581760000000001</v>
      </c>
      <c r="L245" s="31" t="s">
        <v>471</v>
      </c>
      <c r="N245" s="31" t="s">
        <v>7</v>
      </c>
      <c r="O245" s="18">
        <f>IF(N245="5",H245,0)</f>
        <v>0</v>
      </c>
      <c r="Z245" s="18">
        <f>IF(AD245=0,I245,0)</f>
        <v>0</v>
      </c>
      <c r="AA245" s="18">
        <f>IF(AD245=15,I245,0)</f>
        <v>0</v>
      </c>
      <c r="AB245" s="18">
        <f>IF(AD245=21,I245,0)</f>
        <v>0</v>
      </c>
      <c r="AD245" s="35">
        <v>21</v>
      </c>
      <c r="AE245" s="35">
        <f>F245*0.0844330007509924</f>
        <v>0</v>
      </c>
      <c r="AF245" s="35">
        <f>F245*(1-0.0844330007509924)</f>
        <v>0</v>
      </c>
      <c r="AM245" s="35">
        <f>E245*AE245</f>
        <v>0</v>
      </c>
      <c r="AN245" s="35">
        <f>E245*AF245</f>
        <v>0</v>
      </c>
      <c r="AO245" s="36" t="s">
        <v>505</v>
      </c>
      <c r="AP245" s="36" t="s">
        <v>520</v>
      </c>
      <c r="AQ245" s="28" t="s">
        <v>521</v>
      </c>
    </row>
    <row r="246" spans="3:5" ht="12.75">
      <c r="C246" s="15" t="s">
        <v>384</v>
      </c>
      <c r="E246" s="19">
        <v>62.35</v>
      </c>
    </row>
    <row r="247" spans="1:43" ht="12.75">
      <c r="A247" s="4" t="s">
        <v>82</v>
      </c>
      <c r="B247" s="4" t="s">
        <v>196</v>
      </c>
      <c r="C247" s="4" t="s">
        <v>385</v>
      </c>
      <c r="D247" s="4" t="s">
        <v>446</v>
      </c>
      <c r="E247" s="18">
        <v>14</v>
      </c>
      <c r="F247" s="60">
        <v>0</v>
      </c>
      <c r="G247" s="18">
        <f>E247*AE247</f>
        <v>0</v>
      </c>
      <c r="H247" s="18">
        <f>I247-G247</f>
        <v>0</v>
      </c>
      <c r="I247" s="18">
        <f>E247*F247</f>
        <v>0</v>
      </c>
      <c r="J247" s="18">
        <v>0.08</v>
      </c>
      <c r="K247" s="18">
        <f>E247*J247</f>
        <v>1.12</v>
      </c>
      <c r="L247" s="31" t="s">
        <v>471</v>
      </c>
      <c r="N247" s="31" t="s">
        <v>7</v>
      </c>
      <c r="O247" s="18">
        <f>IF(N247="5",H247,0)</f>
        <v>0</v>
      </c>
      <c r="Z247" s="18">
        <f>IF(AD247=0,I247,0)</f>
        <v>0</v>
      </c>
      <c r="AA247" s="18">
        <f>IF(AD247=15,I247,0)</f>
        <v>0</v>
      </c>
      <c r="AB247" s="18">
        <f>IF(AD247=21,I247,0)</f>
        <v>0</v>
      </c>
      <c r="AD247" s="35">
        <v>21</v>
      </c>
      <c r="AE247" s="35">
        <f>F247*0.000125628140703518</f>
        <v>0</v>
      </c>
      <c r="AF247" s="35">
        <f>F247*(1-0.000125628140703518)</f>
        <v>0</v>
      </c>
      <c r="AM247" s="35">
        <f>E247*AE247</f>
        <v>0</v>
      </c>
      <c r="AN247" s="35">
        <f>E247*AF247</f>
        <v>0</v>
      </c>
      <c r="AO247" s="36" t="s">
        <v>505</v>
      </c>
      <c r="AP247" s="36" t="s">
        <v>520</v>
      </c>
      <c r="AQ247" s="28" t="s">
        <v>521</v>
      </c>
    </row>
    <row r="248" spans="3:5" ht="12.75">
      <c r="C248" s="15" t="s">
        <v>20</v>
      </c>
      <c r="E248" s="19">
        <v>14</v>
      </c>
    </row>
    <row r="249" spans="1:43" ht="12.75">
      <c r="A249" s="4" t="s">
        <v>83</v>
      </c>
      <c r="B249" s="4" t="s">
        <v>197</v>
      </c>
      <c r="C249" s="4" t="s">
        <v>386</v>
      </c>
      <c r="D249" s="4" t="s">
        <v>446</v>
      </c>
      <c r="E249" s="18">
        <v>8</v>
      </c>
      <c r="F249" s="60">
        <v>0</v>
      </c>
      <c r="G249" s="18">
        <f>E249*AE249</f>
        <v>0</v>
      </c>
      <c r="H249" s="18">
        <f>I249-G249</f>
        <v>0</v>
      </c>
      <c r="I249" s="18">
        <f>E249*F249</f>
        <v>0</v>
      </c>
      <c r="J249" s="18">
        <v>0</v>
      </c>
      <c r="K249" s="18">
        <f>E249*J249</f>
        <v>0</v>
      </c>
      <c r="L249" s="31" t="s">
        <v>471</v>
      </c>
      <c r="N249" s="31" t="s">
        <v>7</v>
      </c>
      <c r="O249" s="18">
        <f>IF(N249="5",H249,0)</f>
        <v>0</v>
      </c>
      <c r="Z249" s="18">
        <f>IF(AD249=0,I249,0)</f>
        <v>0</v>
      </c>
      <c r="AA249" s="18">
        <f>IF(AD249=15,I249,0)</f>
        <v>0</v>
      </c>
      <c r="AB249" s="18">
        <f>IF(AD249=21,I249,0)</f>
        <v>0</v>
      </c>
      <c r="AD249" s="35">
        <v>21</v>
      </c>
      <c r="AE249" s="35">
        <f>F249*0</f>
        <v>0</v>
      </c>
      <c r="AF249" s="35">
        <f>F249*(1-0)</f>
        <v>0</v>
      </c>
      <c r="AM249" s="35">
        <f>E249*AE249</f>
        <v>0</v>
      </c>
      <c r="AN249" s="35">
        <f>E249*AF249</f>
        <v>0</v>
      </c>
      <c r="AO249" s="36" t="s">
        <v>505</v>
      </c>
      <c r="AP249" s="36" t="s">
        <v>520</v>
      </c>
      <c r="AQ249" s="28" t="s">
        <v>521</v>
      </c>
    </row>
    <row r="250" spans="3:5" ht="12.75">
      <c r="C250" s="15" t="s">
        <v>14</v>
      </c>
      <c r="E250" s="19">
        <v>8</v>
      </c>
    </row>
    <row r="251" spans="1:43" ht="12.75">
      <c r="A251" s="4" t="s">
        <v>84</v>
      </c>
      <c r="B251" s="4" t="s">
        <v>198</v>
      </c>
      <c r="C251" s="4" t="s">
        <v>387</v>
      </c>
      <c r="D251" s="4" t="s">
        <v>447</v>
      </c>
      <c r="E251" s="18">
        <v>6.27</v>
      </c>
      <c r="F251" s="60">
        <v>0</v>
      </c>
      <c r="G251" s="18">
        <f>E251*AE251</f>
        <v>0</v>
      </c>
      <c r="H251" s="18">
        <f>I251-G251</f>
        <v>0</v>
      </c>
      <c r="I251" s="18">
        <f>E251*F251</f>
        <v>0</v>
      </c>
      <c r="J251" s="18">
        <v>0.07717</v>
      </c>
      <c r="K251" s="18">
        <f>E251*J251</f>
        <v>0.4838559</v>
      </c>
      <c r="L251" s="31" t="s">
        <v>471</v>
      </c>
      <c r="N251" s="31" t="s">
        <v>7</v>
      </c>
      <c r="O251" s="18">
        <f>IF(N251="5",H251,0)</f>
        <v>0</v>
      </c>
      <c r="Z251" s="18">
        <f>IF(AD251=0,I251,0)</f>
        <v>0</v>
      </c>
      <c r="AA251" s="18">
        <f>IF(AD251=15,I251,0)</f>
        <v>0</v>
      </c>
      <c r="AB251" s="18">
        <f>IF(AD251=21,I251,0)</f>
        <v>0</v>
      </c>
      <c r="AD251" s="35">
        <v>21</v>
      </c>
      <c r="AE251" s="35">
        <f>F251*0.108159540176318</f>
        <v>0</v>
      </c>
      <c r="AF251" s="35">
        <f>F251*(1-0.108159540176318)</f>
        <v>0</v>
      </c>
      <c r="AM251" s="35">
        <f>E251*AE251</f>
        <v>0</v>
      </c>
      <c r="AN251" s="35">
        <f>E251*AF251</f>
        <v>0</v>
      </c>
      <c r="AO251" s="36" t="s">
        <v>505</v>
      </c>
      <c r="AP251" s="36" t="s">
        <v>520</v>
      </c>
      <c r="AQ251" s="28" t="s">
        <v>521</v>
      </c>
    </row>
    <row r="252" spans="3:5" ht="12.75">
      <c r="C252" s="15" t="s">
        <v>388</v>
      </c>
      <c r="E252" s="19">
        <v>2.83</v>
      </c>
    </row>
    <row r="253" spans="3:5" ht="12.75">
      <c r="C253" s="15" t="s">
        <v>389</v>
      </c>
      <c r="E253" s="19">
        <v>1.82</v>
      </c>
    </row>
    <row r="254" spans="3:5" ht="12.75">
      <c r="C254" s="15" t="s">
        <v>390</v>
      </c>
      <c r="E254" s="19">
        <v>1.62</v>
      </c>
    </row>
    <row r="255" spans="1:43" ht="12.75">
      <c r="A255" s="4" t="s">
        <v>85</v>
      </c>
      <c r="B255" s="4" t="s">
        <v>199</v>
      </c>
      <c r="C255" s="4" t="s">
        <v>391</v>
      </c>
      <c r="D255" s="4" t="s">
        <v>447</v>
      </c>
      <c r="E255" s="18">
        <v>2.19</v>
      </c>
      <c r="F255" s="60">
        <v>0</v>
      </c>
      <c r="G255" s="18">
        <f>E255*AE255</f>
        <v>0</v>
      </c>
      <c r="H255" s="18">
        <f>I255-G255</f>
        <v>0</v>
      </c>
      <c r="I255" s="18">
        <f>E255*F255</f>
        <v>0</v>
      </c>
      <c r="J255" s="18">
        <v>0.08917</v>
      </c>
      <c r="K255" s="18">
        <f>E255*J255</f>
        <v>0.1952823</v>
      </c>
      <c r="L255" s="31" t="s">
        <v>471</v>
      </c>
      <c r="N255" s="31" t="s">
        <v>7</v>
      </c>
      <c r="O255" s="18">
        <f>IF(N255="5",H255,0)</f>
        <v>0</v>
      </c>
      <c r="Z255" s="18">
        <f>IF(AD255=0,I255,0)</f>
        <v>0</v>
      </c>
      <c r="AA255" s="18">
        <f>IF(AD255=15,I255,0)</f>
        <v>0</v>
      </c>
      <c r="AB255" s="18">
        <f>IF(AD255=21,I255,0)</f>
        <v>0</v>
      </c>
      <c r="AD255" s="35">
        <v>21</v>
      </c>
      <c r="AE255" s="35">
        <f>F255*0.168787878787879</f>
        <v>0</v>
      </c>
      <c r="AF255" s="35">
        <f>F255*(1-0.168787878787879)</f>
        <v>0</v>
      </c>
      <c r="AM255" s="35">
        <f>E255*AE255</f>
        <v>0</v>
      </c>
      <c r="AN255" s="35">
        <f>E255*AF255</f>
        <v>0</v>
      </c>
      <c r="AO255" s="36" t="s">
        <v>505</v>
      </c>
      <c r="AP255" s="36" t="s">
        <v>520</v>
      </c>
      <c r="AQ255" s="28" t="s">
        <v>521</v>
      </c>
    </row>
    <row r="256" spans="3:5" ht="12.75">
      <c r="C256" s="15" t="s">
        <v>392</v>
      </c>
      <c r="E256" s="19">
        <v>1.01</v>
      </c>
    </row>
    <row r="257" spans="3:5" ht="12.75">
      <c r="C257" s="15" t="s">
        <v>393</v>
      </c>
      <c r="E257" s="19">
        <v>1.18</v>
      </c>
    </row>
    <row r="258" spans="1:43" ht="12.75">
      <c r="A258" s="4" t="s">
        <v>86</v>
      </c>
      <c r="B258" s="4" t="s">
        <v>200</v>
      </c>
      <c r="C258" s="4" t="s">
        <v>394</v>
      </c>
      <c r="D258" s="4" t="s">
        <v>447</v>
      </c>
      <c r="E258" s="18">
        <v>4.66</v>
      </c>
      <c r="F258" s="60">
        <v>0</v>
      </c>
      <c r="G258" s="18">
        <f>E258*AE258</f>
        <v>0</v>
      </c>
      <c r="H258" s="18">
        <f>I258-G258</f>
        <v>0</v>
      </c>
      <c r="I258" s="18">
        <f>E258*F258</f>
        <v>0</v>
      </c>
      <c r="J258" s="18">
        <v>0.02</v>
      </c>
      <c r="K258" s="18">
        <f>E258*J258</f>
        <v>0.0932</v>
      </c>
      <c r="L258" s="31" t="s">
        <v>471</v>
      </c>
      <c r="N258" s="31" t="s">
        <v>7</v>
      </c>
      <c r="O258" s="18">
        <f>IF(N258="5",H258,0)</f>
        <v>0</v>
      </c>
      <c r="Z258" s="18">
        <f>IF(AD258=0,I258,0)</f>
        <v>0</v>
      </c>
      <c r="AA258" s="18">
        <f>IF(AD258=15,I258,0)</f>
        <v>0</v>
      </c>
      <c r="AB258" s="18">
        <f>IF(AD258=21,I258,0)</f>
        <v>0</v>
      </c>
      <c r="AD258" s="35">
        <v>21</v>
      </c>
      <c r="AE258" s="35">
        <f>F258*0</f>
        <v>0</v>
      </c>
      <c r="AF258" s="35">
        <f>F258*(1-0)</f>
        <v>0</v>
      </c>
      <c r="AM258" s="35">
        <f>E258*AE258</f>
        <v>0</v>
      </c>
      <c r="AN258" s="35">
        <f>E258*AF258</f>
        <v>0</v>
      </c>
      <c r="AO258" s="36" t="s">
        <v>505</v>
      </c>
      <c r="AP258" s="36" t="s">
        <v>520</v>
      </c>
      <c r="AQ258" s="28" t="s">
        <v>521</v>
      </c>
    </row>
    <row r="259" spans="3:5" ht="12.75">
      <c r="C259" s="15" t="s">
        <v>287</v>
      </c>
      <c r="E259" s="19">
        <v>4.66</v>
      </c>
    </row>
    <row r="260" spans="1:43" ht="12.75">
      <c r="A260" s="4" t="s">
        <v>87</v>
      </c>
      <c r="B260" s="4" t="s">
        <v>201</v>
      </c>
      <c r="C260" s="4" t="s">
        <v>395</v>
      </c>
      <c r="D260" s="4" t="s">
        <v>449</v>
      </c>
      <c r="E260" s="18">
        <v>0.37</v>
      </c>
      <c r="F260" s="60">
        <v>0</v>
      </c>
      <c r="G260" s="18">
        <f>E260*AE260</f>
        <v>0</v>
      </c>
      <c r="H260" s="18">
        <f>I260-G260</f>
        <v>0</v>
      </c>
      <c r="I260" s="18">
        <f>E260*F260</f>
        <v>0</v>
      </c>
      <c r="J260" s="18">
        <v>2.2</v>
      </c>
      <c r="K260" s="18">
        <f>E260*J260</f>
        <v>0.8140000000000001</v>
      </c>
      <c r="L260" s="31" t="s">
        <v>471</v>
      </c>
      <c r="N260" s="31" t="s">
        <v>7</v>
      </c>
      <c r="O260" s="18">
        <f>IF(N260="5",H260,0)</f>
        <v>0</v>
      </c>
      <c r="Z260" s="18">
        <f>IF(AD260=0,I260,0)</f>
        <v>0</v>
      </c>
      <c r="AA260" s="18">
        <f>IF(AD260=15,I260,0)</f>
        <v>0</v>
      </c>
      <c r="AB260" s="18">
        <f>IF(AD260=21,I260,0)</f>
        <v>0</v>
      </c>
      <c r="AD260" s="35">
        <v>21</v>
      </c>
      <c r="AE260" s="35">
        <f>F260*0</f>
        <v>0</v>
      </c>
      <c r="AF260" s="35">
        <f>F260*(1-0)</f>
        <v>0</v>
      </c>
      <c r="AM260" s="35">
        <f>E260*AE260</f>
        <v>0</v>
      </c>
      <c r="AN260" s="35">
        <f>E260*AF260</f>
        <v>0</v>
      </c>
      <c r="AO260" s="36" t="s">
        <v>505</v>
      </c>
      <c r="AP260" s="36" t="s">
        <v>520</v>
      </c>
      <c r="AQ260" s="28" t="s">
        <v>521</v>
      </c>
    </row>
    <row r="261" spans="3:5" ht="12.75">
      <c r="C261" s="15" t="s">
        <v>396</v>
      </c>
      <c r="E261" s="19">
        <v>0.37</v>
      </c>
    </row>
    <row r="262" spans="1:43" ht="25.5">
      <c r="A262" s="4" t="s">
        <v>88</v>
      </c>
      <c r="B262" s="4" t="s">
        <v>202</v>
      </c>
      <c r="C262" s="52" t="s">
        <v>397</v>
      </c>
      <c r="D262" s="4" t="s">
        <v>447</v>
      </c>
      <c r="E262" s="18">
        <v>33</v>
      </c>
      <c r="F262" s="60">
        <v>0</v>
      </c>
      <c r="G262" s="18">
        <f>E262*AE262</f>
        <v>0</v>
      </c>
      <c r="H262" s="18">
        <f>I262-G262</f>
        <v>0</v>
      </c>
      <c r="I262" s="18">
        <f>E262*F262</f>
        <v>0</v>
      </c>
      <c r="J262" s="18">
        <v>0.02</v>
      </c>
      <c r="K262" s="18">
        <f>E262*J262</f>
        <v>0.66</v>
      </c>
      <c r="L262" s="31" t="s">
        <v>471</v>
      </c>
      <c r="N262" s="31" t="s">
        <v>7</v>
      </c>
      <c r="O262" s="18">
        <f>IF(N262="5",H262,0)</f>
        <v>0</v>
      </c>
      <c r="Z262" s="18">
        <f>IF(AD262=0,I262,0)</f>
        <v>0</v>
      </c>
      <c r="AA262" s="18">
        <f>IF(AD262=15,I262,0)</f>
        <v>0</v>
      </c>
      <c r="AB262" s="18">
        <f>IF(AD262=21,I262,0)</f>
        <v>0</v>
      </c>
      <c r="AD262" s="35">
        <v>21</v>
      </c>
      <c r="AE262" s="35">
        <f>F262*0</f>
        <v>0</v>
      </c>
      <c r="AF262" s="35">
        <f>F262*(1-0)</f>
        <v>0</v>
      </c>
      <c r="AM262" s="35">
        <f>E262*AE262</f>
        <v>0</v>
      </c>
      <c r="AN262" s="35">
        <f>E262*AF262</f>
        <v>0</v>
      </c>
      <c r="AO262" s="36" t="s">
        <v>505</v>
      </c>
      <c r="AP262" s="36" t="s">
        <v>520</v>
      </c>
      <c r="AQ262" s="28" t="s">
        <v>521</v>
      </c>
    </row>
    <row r="263" spans="3:5" ht="12.75">
      <c r="C263" s="15" t="s">
        <v>398</v>
      </c>
      <c r="E263" s="19">
        <v>33</v>
      </c>
    </row>
    <row r="264" spans="1:43" ht="12.75">
      <c r="A264" s="4" t="s">
        <v>89</v>
      </c>
      <c r="B264" s="4" t="s">
        <v>203</v>
      </c>
      <c r="C264" s="4" t="s">
        <v>399</v>
      </c>
      <c r="D264" s="4" t="s">
        <v>447</v>
      </c>
      <c r="E264" s="18">
        <v>33</v>
      </c>
      <c r="F264" s="60">
        <v>0</v>
      </c>
      <c r="G264" s="18">
        <f>E264*AE264</f>
        <v>0</v>
      </c>
      <c r="H264" s="18">
        <f>I264-G264</f>
        <v>0</v>
      </c>
      <c r="I264" s="18">
        <f>E264*F264</f>
        <v>0</v>
      </c>
      <c r="J264" s="18">
        <v>0.00175</v>
      </c>
      <c r="K264" s="18">
        <f>E264*J264</f>
        <v>0.05775</v>
      </c>
      <c r="L264" s="31" t="s">
        <v>471</v>
      </c>
      <c r="N264" s="31" t="s">
        <v>7</v>
      </c>
      <c r="O264" s="18">
        <f>IF(N264="5",H264,0)</f>
        <v>0</v>
      </c>
      <c r="Z264" s="18">
        <f>IF(AD264=0,I264,0)</f>
        <v>0</v>
      </c>
      <c r="AA264" s="18">
        <f>IF(AD264=15,I264,0)</f>
        <v>0</v>
      </c>
      <c r="AB264" s="18">
        <f>IF(AD264=21,I264,0)</f>
        <v>0</v>
      </c>
      <c r="AD264" s="35">
        <v>21</v>
      </c>
      <c r="AE264" s="35">
        <f>F264*0</f>
        <v>0</v>
      </c>
      <c r="AF264" s="35">
        <f>F264*(1-0)</f>
        <v>0</v>
      </c>
      <c r="AM264" s="35">
        <f>E264*AE264</f>
        <v>0</v>
      </c>
      <c r="AN264" s="35">
        <f>E264*AF264</f>
        <v>0</v>
      </c>
      <c r="AO264" s="36" t="s">
        <v>505</v>
      </c>
      <c r="AP264" s="36" t="s">
        <v>520</v>
      </c>
      <c r="AQ264" s="28" t="s">
        <v>521</v>
      </c>
    </row>
    <row r="265" spans="3:5" ht="12.75">
      <c r="C265" s="15" t="s">
        <v>398</v>
      </c>
      <c r="E265" s="19">
        <v>33</v>
      </c>
    </row>
    <row r="266" spans="1:37" ht="12.75">
      <c r="A266" s="5"/>
      <c r="B266" s="13" t="s">
        <v>103</v>
      </c>
      <c r="C266" s="120" t="s">
        <v>400</v>
      </c>
      <c r="D266" s="121"/>
      <c r="E266" s="121"/>
      <c r="F266" s="121"/>
      <c r="G266" s="38">
        <f>SUM(G267:G294)</f>
        <v>0</v>
      </c>
      <c r="H266" s="38">
        <f>SUM(H267:H294)</f>
        <v>0</v>
      </c>
      <c r="I266" s="38">
        <f>G266+H266</f>
        <v>0</v>
      </c>
      <c r="J266" s="28"/>
      <c r="K266" s="38">
        <f>SUM(K267:K294)</f>
        <v>6.8591708</v>
      </c>
      <c r="L266" s="28"/>
      <c r="P266" s="38">
        <f>IF(Q266="PR",I266,SUM(O267:O294))</f>
        <v>0</v>
      </c>
      <c r="Q266" s="28" t="s">
        <v>476</v>
      </c>
      <c r="R266" s="38">
        <f>IF(Q266="HS",G266,0)</f>
        <v>0</v>
      </c>
      <c r="S266" s="38">
        <f>IF(Q266="HS",H266-P266,0)</f>
        <v>0</v>
      </c>
      <c r="T266" s="38">
        <f>IF(Q266="PS",G266,0)</f>
        <v>0</v>
      </c>
      <c r="U266" s="38">
        <f>IF(Q266="PS",H266-P266,0)</f>
        <v>0</v>
      </c>
      <c r="V266" s="38">
        <f>IF(Q266="MP",G266,0)</f>
        <v>0</v>
      </c>
      <c r="W266" s="38">
        <f>IF(Q266="MP",H266-P266,0)</f>
        <v>0</v>
      </c>
      <c r="X266" s="38">
        <f>IF(Q266="OM",G266,0)</f>
        <v>0</v>
      </c>
      <c r="Y266" s="28"/>
      <c r="AI266" s="38">
        <f>SUM(Z267:Z294)</f>
        <v>0</v>
      </c>
      <c r="AJ266" s="38">
        <f>SUM(AA267:AA294)</f>
        <v>0</v>
      </c>
      <c r="AK266" s="38">
        <f>SUM(AB267:AB294)</f>
        <v>0</v>
      </c>
    </row>
    <row r="267" spans="1:43" ht="12.75">
      <c r="A267" s="4" t="s">
        <v>90</v>
      </c>
      <c r="B267" s="4" t="s">
        <v>204</v>
      </c>
      <c r="C267" s="4" t="s">
        <v>401</v>
      </c>
      <c r="D267" s="4" t="s">
        <v>448</v>
      </c>
      <c r="E267" s="18">
        <v>0.35</v>
      </c>
      <c r="F267" s="60">
        <v>0</v>
      </c>
      <c r="G267" s="18">
        <f>E267*AE267</f>
        <v>0</v>
      </c>
      <c r="H267" s="18">
        <f>I267-G267</f>
        <v>0</v>
      </c>
      <c r="I267" s="18">
        <f>E267*F267</f>
        <v>0</v>
      </c>
      <c r="J267" s="18">
        <v>0.00287</v>
      </c>
      <c r="K267" s="18">
        <f>E267*J267</f>
        <v>0.0010045</v>
      </c>
      <c r="L267" s="31" t="s">
        <v>471</v>
      </c>
      <c r="N267" s="31" t="s">
        <v>7</v>
      </c>
      <c r="O267" s="18">
        <f>IF(N267="5",H267,0)</f>
        <v>0</v>
      </c>
      <c r="Z267" s="18">
        <f>IF(AD267=0,I267,0)</f>
        <v>0</v>
      </c>
      <c r="AA267" s="18">
        <f>IF(AD267=15,I267,0)</f>
        <v>0</v>
      </c>
      <c r="AB267" s="18">
        <f>IF(AD267=21,I267,0)</f>
        <v>0</v>
      </c>
      <c r="AD267" s="35">
        <v>21</v>
      </c>
      <c r="AE267" s="35">
        <f>F267*0.422236363636364</f>
        <v>0</v>
      </c>
      <c r="AF267" s="35">
        <f>F267*(1-0.422236363636364)</f>
        <v>0</v>
      </c>
      <c r="AM267" s="35">
        <f>E267*AE267</f>
        <v>0</v>
      </c>
      <c r="AN267" s="35">
        <f>E267*AF267</f>
        <v>0</v>
      </c>
      <c r="AO267" s="36" t="s">
        <v>506</v>
      </c>
      <c r="AP267" s="36" t="s">
        <v>520</v>
      </c>
      <c r="AQ267" s="28" t="s">
        <v>521</v>
      </c>
    </row>
    <row r="268" spans="3:5" ht="12.75">
      <c r="C268" s="15" t="s">
        <v>402</v>
      </c>
      <c r="E268" s="19">
        <v>0.35</v>
      </c>
    </row>
    <row r="269" spans="1:43" ht="12.75">
      <c r="A269" s="4" t="s">
        <v>91</v>
      </c>
      <c r="B269" s="4" t="s">
        <v>205</v>
      </c>
      <c r="C269" s="4" t="s">
        <v>403</v>
      </c>
      <c r="D269" s="4" t="s">
        <v>448</v>
      </c>
      <c r="E269" s="18">
        <v>0.35</v>
      </c>
      <c r="F269" s="60">
        <v>0</v>
      </c>
      <c r="G269" s="18">
        <f>E269*AE269</f>
        <v>0</v>
      </c>
      <c r="H269" s="18">
        <f>I269-G269</f>
        <v>0</v>
      </c>
      <c r="I269" s="18">
        <f>E269*F269</f>
        <v>0</v>
      </c>
      <c r="J269" s="18">
        <v>0.00287</v>
      </c>
      <c r="K269" s="18">
        <f>E269*J269</f>
        <v>0.0010045</v>
      </c>
      <c r="L269" s="31" t="s">
        <v>471</v>
      </c>
      <c r="N269" s="31" t="s">
        <v>7</v>
      </c>
      <c r="O269" s="18">
        <f>IF(N269="5",H269,0)</f>
        <v>0</v>
      </c>
      <c r="Z269" s="18">
        <f>IF(AD269=0,I269,0)</f>
        <v>0</v>
      </c>
      <c r="AA269" s="18">
        <f>IF(AD269=15,I269,0)</f>
        <v>0</v>
      </c>
      <c r="AB269" s="18">
        <f>IF(AD269=21,I269,0)</f>
        <v>0</v>
      </c>
      <c r="AD269" s="35">
        <v>21</v>
      </c>
      <c r="AE269" s="35">
        <f>F269*0.402021909894678</f>
        <v>0</v>
      </c>
      <c r="AF269" s="35">
        <f>F269*(1-0.402021909894678)</f>
        <v>0</v>
      </c>
      <c r="AM269" s="35">
        <f>E269*AE269</f>
        <v>0</v>
      </c>
      <c r="AN269" s="35">
        <f>E269*AF269</f>
        <v>0</v>
      </c>
      <c r="AO269" s="36" t="s">
        <v>506</v>
      </c>
      <c r="AP269" s="36" t="s">
        <v>520</v>
      </c>
      <c r="AQ269" s="28" t="s">
        <v>521</v>
      </c>
    </row>
    <row r="270" spans="3:5" ht="12.75">
      <c r="C270" s="15" t="s">
        <v>402</v>
      </c>
      <c r="E270" s="19">
        <v>0.35</v>
      </c>
    </row>
    <row r="271" spans="1:43" ht="12.75">
      <c r="A271" s="4" t="s">
        <v>92</v>
      </c>
      <c r="B271" s="4" t="s">
        <v>206</v>
      </c>
      <c r="C271" s="4" t="s">
        <v>404</v>
      </c>
      <c r="D271" s="4" t="s">
        <v>447</v>
      </c>
      <c r="E271" s="18">
        <v>17.66</v>
      </c>
      <c r="F271" s="60">
        <v>0</v>
      </c>
      <c r="G271" s="18">
        <f>E271*AE271</f>
        <v>0</v>
      </c>
      <c r="H271" s="18">
        <f>I271-G271</f>
        <v>0</v>
      </c>
      <c r="I271" s="18">
        <f>E271*F271</f>
        <v>0</v>
      </c>
      <c r="J271" s="18">
        <v>0.068</v>
      </c>
      <c r="K271" s="18">
        <f>E271*J271</f>
        <v>1.2008800000000002</v>
      </c>
      <c r="L271" s="31" t="s">
        <v>471</v>
      </c>
      <c r="N271" s="31" t="s">
        <v>7</v>
      </c>
      <c r="O271" s="18">
        <f>IF(N271="5",H271,0)</f>
        <v>0</v>
      </c>
      <c r="Z271" s="18">
        <f>IF(AD271=0,I271,0)</f>
        <v>0</v>
      </c>
      <c r="AA271" s="18">
        <f>IF(AD271=15,I271,0)</f>
        <v>0</v>
      </c>
      <c r="AB271" s="18">
        <f>IF(AD271=21,I271,0)</f>
        <v>0</v>
      </c>
      <c r="AD271" s="35">
        <v>21</v>
      </c>
      <c r="AE271" s="35">
        <f>F271*0</f>
        <v>0</v>
      </c>
      <c r="AF271" s="35">
        <f>F271*(1-0)</f>
        <v>0</v>
      </c>
      <c r="AM271" s="35">
        <f>E271*AE271</f>
        <v>0</v>
      </c>
      <c r="AN271" s="35">
        <f>E271*AF271</f>
        <v>0</v>
      </c>
      <c r="AO271" s="36" t="s">
        <v>506</v>
      </c>
      <c r="AP271" s="36" t="s">
        <v>520</v>
      </c>
      <c r="AQ271" s="28" t="s">
        <v>521</v>
      </c>
    </row>
    <row r="272" spans="3:5" ht="12.75">
      <c r="C272" s="15" t="s">
        <v>405</v>
      </c>
      <c r="E272" s="19">
        <v>5.4</v>
      </c>
    </row>
    <row r="273" spans="3:5" ht="12.75">
      <c r="C273" s="15" t="s">
        <v>406</v>
      </c>
      <c r="E273" s="19">
        <v>2.26</v>
      </c>
    </row>
    <row r="274" spans="3:5" ht="12.75">
      <c r="C274" s="15" t="s">
        <v>16</v>
      </c>
      <c r="E274" s="19">
        <v>10</v>
      </c>
    </row>
    <row r="275" spans="1:43" ht="12.75">
      <c r="A275" s="4" t="s">
        <v>93</v>
      </c>
      <c r="B275" s="4" t="s">
        <v>207</v>
      </c>
      <c r="C275" s="4" t="s">
        <v>407</v>
      </c>
      <c r="D275" s="4" t="s">
        <v>448</v>
      </c>
      <c r="E275" s="18">
        <v>6.69</v>
      </c>
      <c r="F275" s="60">
        <v>0</v>
      </c>
      <c r="G275" s="18">
        <f>E275*AE275</f>
        <v>0</v>
      </c>
      <c r="H275" s="18">
        <f>I275-G275</f>
        <v>0</v>
      </c>
      <c r="I275" s="18">
        <f>E275*F275</f>
        <v>0</v>
      </c>
      <c r="J275" s="18">
        <v>0.00046</v>
      </c>
      <c r="K275" s="18">
        <f>E275*J275</f>
        <v>0.0030774</v>
      </c>
      <c r="L275" s="31" t="s">
        <v>471</v>
      </c>
      <c r="N275" s="31" t="s">
        <v>7</v>
      </c>
      <c r="O275" s="18">
        <f>IF(N275="5",H275,0)</f>
        <v>0</v>
      </c>
      <c r="Z275" s="18">
        <f>IF(AD275=0,I275,0)</f>
        <v>0</v>
      </c>
      <c r="AA275" s="18">
        <f>IF(AD275=15,I275,0)</f>
        <v>0</v>
      </c>
      <c r="AB275" s="18">
        <f>IF(AD275=21,I275,0)</f>
        <v>0</v>
      </c>
      <c r="AD275" s="35">
        <v>21</v>
      </c>
      <c r="AE275" s="35">
        <f>F275*0.196034063260341</f>
        <v>0</v>
      </c>
      <c r="AF275" s="35">
        <f>F275*(1-0.196034063260341)</f>
        <v>0</v>
      </c>
      <c r="AM275" s="35">
        <f>E275*AE275</f>
        <v>0</v>
      </c>
      <c r="AN275" s="35">
        <f>E275*AF275</f>
        <v>0</v>
      </c>
      <c r="AO275" s="36" t="s">
        <v>506</v>
      </c>
      <c r="AP275" s="36" t="s">
        <v>520</v>
      </c>
      <c r="AQ275" s="28" t="s">
        <v>521</v>
      </c>
    </row>
    <row r="276" spans="3:5" ht="12.75">
      <c r="C276" s="15" t="s">
        <v>408</v>
      </c>
      <c r="E276" s="19">
        <v>2.65</v>
      </c>
    </row>
    <row r="277" spans="3:5" ht="12.75">
      <c r="C277" s="15" t="s">
        <v>409</v>
      </c>
      <c r="E277" s="19">
        <v>4.04</v>
      </c>
    </row>
    <row r="278" spans="1:43" ht="12.75">
      <c r="A278" s="4" t="s">
        <v>94</v>
      </c>
      <c r="B278" s="4" t="s">
        <v>208</v>
      </c>
      <c r="C278" s="4" t="s">
        <v>410</v>
      </c>
      <c r="D278" s="4" t="s">
        <v>447</v>
      </c>
      <c r="E278" s="18">
        <v>10.44</v>
      </c>
      <c r="F278" s="60">
        <v>0</v>
      </c>
      <c r="G278" s="18">
        <f>E278*AE278</f>
        <v>0</v>
      </c>
      <c r="H278" s="18">
        <f>I278-G278</f>
        <v>0</v>
      </c>
      <c r="I278" s="18">
        <f>E278*F278</f>
        <v>0</v>
      </c>
      <c r="J278" s="18">
        <v>0.54055</v>
      </c>
      <c r="K278" s="18">
        <f>E278*J278</f>
        <v>5.643342</v>
      </c>
      <c r="L278" s="31" t="s">
        <v>471</v>
      </c>
      <c r="N278" s="31" t="s">
        <v>9</v>
      </c>
      <c r="O278" s="18">
        <f>IF(N278="5",H278,0)</f>
        <v>0</v>
      </c>
      <c r="Z278" s="18">
        <f>IF(AD278=0,I278,0)</f>
        <v>0</v>
      </c>
      <c r="AA278" s="18">
        <f>IF(AD278=15,I278,0)</f>
        <v>0</v>
      </c>
      <c r="AB278" s="18">
        <f>IF(AD278=21,I278,0)</f>
        <v>0</v>
      </c>
      <c r="AD278" s="35">
        <v>21</v>
      </c>
      <c r="AE278" s="35">
        <f>F278*0.0154880952380952</f>
        <v>0</v>
      </c>
      <c r="AF278" s="35">
        <f>F278*(1-0.0154880952380952)</f>
        <v>0</v>
      </c>
      <c r="AM278" s="35">
        <f>E278*AE278</f>
        <v>0</v>
      </c>
      <c r="AN278" s="35">
        <f>E278*AF278</f>
        <v>0</v>
      </c>
      <c r="AO278" s="36" t="s">
        <v>506</v>
      </c>
      <c r="AP278" s="36" t="s">
        <v>520</v>
      </c>
      <c r="AQ278" s="28" t="s">
        <v>521</v>
      </c>
    </row>
    <row r="279" spans="3:5" ht="12.75">
      <c r="C279" s="15" t="s">
        <v>411</v>
      </c>
      <c r="E279" s="19">
        <v>0.09</v>
      </c>
    </row>
    <row r="280" spans="3:5" ht="12.75">
      <c r="C280" s="15" t="s">
        <v>412</v>
      </c>
      <c r="E280" s="19">
        <v>1.99</v>
      </c>
    </row>
    <row r="281" spans="3:5" ht="12.75">
      <c r="C281" s="15" t="s">
        <v>413</v>
      </c>
      <c r="E281" s="19">
        <v>0.08</v>
      </c>
    </row>
    <row r="282" spans="3:5" ht="12.75">
      <c r="C282" s="15" t="s">
        <v>390</v>
      </c>
      <c r="E282" s="19">
        <v>1.62</v>
      </c>
    </row>
    <row r="283" spans="3:5" ht="12.75">
      <c r="C283" s="15" t="s">
        <v>414</v>
      </c>
      <c r="E283" s="19">
        <v>1.28</v>
      </c>
    </row>
    <row r="284" spans="3:5" ht="12.75">
      <c r="C284" s="15" t="s">
        <v>415</v>
      </c>
      <c r="E284" s="19">
        <v>0.97</v>
      </c>
    </row>
    <row r="285" spans="3:5" ht="12.75">
      <c r="C285" s="15" t="s">
        <v>406</v>
      </c>
      <c r="E285" s="19">
        <v>2.26</v>
      </c>
    </row>
    <row r="286" spans="3:5" ht="12.75">
      <c r="C286" s="15" t="s">
        <v>416</v>
      </c>
      <c r="E286" s="19">
        <v>0.33</v>
      </c>
    </row>
    <row r="287" spans="3:5" ht="12.75">
      <c r="C287" s="15" t="s">
        <v>389</v>
      </c>
      <c r="E287" s="19">
        <v>1.82</v>
      </c>
    </row>
    <row r="288" spans="1:43" ht="12.75">
      <c r="A288" s="4" t="s">
        <v>95</v>
      </c>
      <c r="B288" s="4" t="s">
        <v>209</v>
      </c>
      <c r="C288" s="4" t="s">
        <v>417</v>
      </c>
      <c r="D288" s="4" t="s">
        <v>448</v>
      </c>
      <c r="E288" s="18">
        <v>19.79</v>
      </c>
      <c r="F288" s="60">
        <v>0</v>
      </c>
      <c r="G288" s="18">
        <f>E288*AE288</f>
        <v>0</v>
      </c>
      <c r="H288" s="18">
        <f>I288-G288</f>
        <v>0</v>
      </c>
      <c r="I288" s="18">
        <f>E288*F288</f>
        <v>0</v>
      </c>
      <c r="J288" s="18">
        <v>0.00046</v>
      </c>
      <c r="K288" s="18">
        <f>E288*J288</f>
        <v>0.0091034</v>
      </c>
      <c r="L288" s="31" t="s">
        <v>471</v>
      </c>
      <c r="N288" s="31" t="s">
        <v>7</v>
      </c>
      <c r="O288" s="18">
        <f>IF(N288="5",H288,0)</f>
        <v>0</v>
      </c>
      <c r="Z288" s="18">
        <f>IF(AD288=0,I288,0)</f>
        <v>0</v>
      </c>
      <c r="AA288" s="18">
        <f>IF(AD288=15,I288,0)</f>
        <v>0</v>
      </c>
      <c r="AB288" s="18">
        <f>IF(AD288=21,I288,0)</f>
        <v>0</v>
      </c>
      <c r="AD288" s="35">
        <v>21</v>
      </c>
      <c r="AE288" s="35">
        <f>F288*0.180626148573699</f>
        <v>0</v>
      </c>
      <c r="AF288" s="35">
        <f>F288*(1-0.180626148573699)</f>
        <v>0</v>
      </c>
      <c r="AM288" s="35">
        <f>E288*AE288</f>
        <v>0</v>
      </c>
      <c r="AN288" s="35">
        <f>E288*AF288</f>
        <v>0</v>
      </c>
      <c r="AO288" s="36" t="s">
        <v>506</v>
      </c>
      <c r="AP288" s="36" t="s">
        <v>520</v>
      </c>
      <c r="AQ288" s="28" t="s">
        <v>521</v>
      </c>
    </row>
    <row r="289" spans="3:5" ht="12.75">
      <c r="C289" s="15" t="s">
        <v>418</v>
      </c>
      <c r="E289" s="19">
        <v>2.4</v>
      </c>
    </row>
    <row r="290" spans="3:5" ht="12.75">
      <c r="C290" s="15" t="s">
        <v>419</v>
      </c>
      <c r="E290" s="19">
        <v>2.15</v>
      </c>
    </row>
    <row r="291" spans="3:5" ht="12.75">
      <c r="C291" s="15" t="s">
        <v>409</v>
      </c>
      <c r="E291" s="19">
        <v>4.04</v>
      </c>
    </row>
    <row r="292" spans="3:5" ht="12.75">
      <c r="C292" s="15" t="s">
        <v>420</v>
      </c>
      <c r="E292" s="19">
        <v>4.8</v>
      </c>
    </row>
    <row r="293" spans="3:5" ht="12.75">
      <c r="C293" s="15" t="s">
        <v>421</v>
      </c>
      <c r="E293" s="19">
        <v>6.4</v>
      </c>
    </row>
    <row r="294" spans="1:43" ht="12.75">
      <c r="A294" s="4" t="s">
        <v>96</v>
      </c>
      <c r="B294" s="4" t="s">
        <v>210</v>
      </c>
      <c r="C294" s="4" t="s">
        <v>422</v>
      </c>
      <c r="D294" s="4" t="s">
        <v>448</v>
      </c>
      <c r="E294" s="18">
        <v>1.65</v>
      </c>
      <c r="F294" s="60">
        <v>0</v>
      </c>
      <c r="G294" s="18">
        <f>E294*AE294</f>
        <v>0</v>
      </c>
      <c r="H294" s="18">
        <f>I294-G294</f>
        <v>0</v>
      </c>
      <c r="I294" s="18">
        <f>E294*F294</f>
        <v>0</v>
      </c>
      <c r="J294" s="18">
        <v>0.00046</v>
      </c>
      <c r="K294" s="18">
        <f>E294*J294</f>
        <v>0.000759</v>
      </c>
      <c r="L294" s="31" t="s">
        <v>471</v>
      </c>
      <c r="N294" s="31" t="s">
        <v>7</v>
      </c>
      <c r="O294" s="18">
        <f>IF(N294="5",H294,0)</f>
        <v>0</v>
      </c>
      <c r="Z294" s="18">
        <f>IF(AD294=0,I294,0)</f>
        <v>0</v>
      </c>
      <c r="AA294" s="18">
        <f>IF(AD294=15,I294,0)</f>
        <v>0</v>
      </c>
      <c r="AB294" s="18">
        <f>IF(AD294=21,I294,0)</f>
        <v>0</v>
      </c>
      <c r="AD294" s="35">
        <v>21</v>
      </c>
      <c r="AE294" s="35">
        <f>F294*0.209664804469274</f>
        <v>0</v>
      </c>
      <c r="AF294" s="35">
        <f>F294*(1-0.209664804469274)</f>
        <v>0</v>
      </c>
      <c r="AM294" s="35">
        <f>E294*AE294</f>
        <v>0</v>
      </c>
      <c r="AN294" s="35">
        <f>E294*AF294</f>
        <v>0</v>
      </c>
      <c r="AO294" s="36" t="s">
        <v>506</v>
      </c>
      <c r="AP294" s="36" t="s">
        <v>520</v>
      </c>
      <c r="AQ294" s="28" t="s">
        <v>521</v>
      </c>
    </row>
    <row r="295" spans="3:5" ht="12.75">
      <c r="C295" s="15" t="s">
        <v>423</v>
      </c>
      <c r="E295" s="19">
        <v>1.65</v>
      </c>
    </row>
    <row r="296" spans="1:37" ht="12.75">
      <c r="A296" s="5"/>
      <c r="B296" s="13" t="s">
        <v>211</v>
      </c>
      <c r="C296" s="120" t="s">
        <v>424</v>
      </c>
      <c r="D296" s="121"/>
      <c r="E296" s="121"/>
      <c r="F296" s="121"/>
      <c r="G296" s="38">
        <f>SUM(G297:G297)</f>
        <v>0</v>
      </c>
      <c r="H296" s="38">
        <f>SUM(H297:H297)</f>
        <v>0</v>
      </c>
      <c r="I296" s="38">
        <f>G296+H296</f>
        <v>0</v>
      </c>
      <c r="J296" s="28"/>
      <c r="K296" s="38">
        <f>SUM(K297:K297)</f>
        <v>0</v>
      </c>
      <c r="L296" s="28"/>
      <c r="P296" s="38">
        <f>IF(Q296="PR",I296,SUM(O297:O297))</f>
        <v>0</v>
      </c>
      <c r="Q296" s="28" t="s">
        <v>476</v>
      </c>
      <c r="R296" s="38">
        <f>IF(Q296="HS",G296,0)</f>
        <v>0</v>
      </c>
      <c r="S296" s="38">
        <f>IF(Q296="HS",H296-P296,0)</f>
        <v>0</v>
      </c>
      <c r="T296" s="38">
        <f>IF(Q296="PS",G296,0)</f>
        <v>0</v>
      </c>
      <c r="U296" s="38">
        <f>IF(Q296="PS",H296-P296,0)</f>
        <v>0</v>
      </c>
      <c r="V296" s="38">
        <f>IF(Q296="MP",G296,0)</f>
        <v>0</v>
      </c>
      <c r="W296" s="38">
        <f>IF(Q296="MP",H296-P296,0)</f>
        <v>0</v>
      </c>
      <c r="X296" s="38">
        <f>IF(Q296="OM",G296,0)</f>
        <v>0</v>
      </c>
      <c r="Y296" s="28"/>
      <c r="AI296" s="38">
        <f>SUM(Z297:Z297)</f>
        <v>0</v>
      </c>
      <c r="AJ296" s="38">
        <f>SUM(AA297:AA297)</f>
        <v>0</v>
      </c>
      <c r="AK296" s="38">
        <f>SUM(AB297:AB297)</f>
        <v>0</v>
      </c>
    </row>
    <row r="297" spans="1:43" ht="12.75">
      <c r="A297" s="4" t="s">
        <v>97</v>
      </c>
      <c r="B297" s="4" t="s">
        <v>212</v>
      </c>
      <c r="C297" s="4" t="s">
        <v>425</v>
      </c>
      <c r="D297" s="4" t="s">
        <v>452</v>
      </c>
      <c r="E297" s="18">
        <v>54.83</v>
      </c>
      <c r="F297" s="60">
        <v>0</v>
      </c>
      <c r="G297" s="18">
        <f>E297*AE297</f>
        <v>0</v>
      </c>
      <c r="H297" s="18">
        <f>I297-G297</f>
        <v>0</v>
      </c>
      <c r="I297" s="18">
        <f>E297*F297</f>
        <v>0</v>
      </c>
      <c r="J297" s="18">
        <v>0</v>
      </c>
      <c r="K297" s="18">
        <f>E297*J297</f>
        <v>0</v>
      </c>
      <c r="L297" s="31" t="s">
        <v>471</v>
      </c>
      <c r="N297" s="31" t="s">
        <v>11</v>
      </c>
      <c r="O297" s="18">
        <f>IF(N297="5",H297,0)</f>
        <v>0</v>
      </c>
      <c r="Z297" s="18">
        <f>IF(AD297=0,I297,0)</f>
        <v>0</v>
      </c>
      <c r="AA297" s="18">
        <f>IF(AD297=15,I297,0)</f>
        <v>0</v>
      </c>
      <c r="AB297" s="18">
        <f>IF(AD297=21,I297,0)</f>
        <v>0</v>
      </c>
      <c r="AD297" s="35">
        <v>21</v>
      </c>
      <c r="AE297" s="35">
        <f>F297*0</f>
        <v>0</v>
      </c>
      <c r="AF297" s="35">
        <f>F297*(1-0)</f>
        <v>0</v>
      </c>
      <c r="AM297" s="35">
        <f>E297*AE297</f>
        <v>0</v>
      </c>
      <c r="AN297" s="35">
        <f>E297*AF297</f>
        <v>0</v>
      </c>
      <c r="AO297" s="36" t="s">
        <v>507</v>
      </c>
      <c r="AP297" s="36" t="s">
        <v>520</v>
      </c>
      <c r="AQ297" s="28" t="s">
        <v>521</v>
      </c>
    </row>
    <row r="298" spans="3:5" ht="12.75">
      <c r="C298" s="15" t="s">
        <v>426</v>
      </c>
      <c r="E298" s="19">
        <v>54.83</v>
      </c>
    </row>
    <row r="299" spans="1:37" ht="12.75">
      <c r="A299" s="5"/>
      <c r="B299" s="13" t="s">
        <v>213</v>
      </c>
      <c r="C299" s="120" t="s">
        <v>427</v>
      </c>
      <c r="D299" s="121"/>
      <c r="E299" s="121"/>
      <c r="F299" s="121"/>
      <c r="G299" s="38">
        <f>SUM(G300:G302)</f>
        <v>0</v>
      </c>
      <c r="H299" s="38">
        <f>SUM(H300:H302)</f>
        <v>0</v>
      </c>
      <c r="I299" s="38">
        <f>G299+H299</f>
        <v>0</v>
      </c>
      <c r="J299" s="28"/>
      <c r="K299" s="38">
        <f>SUM(K300:K302)</f>
        <v>0</v>
      </c>
      <c r="L299" s="28"/>
      <c r="P299" s="38">
        <f>IF(Q299="PR",I299,SUM(O300:O302))</f>
        <v>0</v>
      </c>
      <c r="Q299" s="28" t="s">
        <v>478</v>
      </c>
      <c r="R299" s="38">
        <f>IF(Q299="HS",G299,0)</f>
        <v>0</v>
      </c>
      <c r="S299" s="38">
        <f>IF(Q299="HS",H299-P299,0)</f>
        <v>0</v>
      </c>
      <c r="T299" s="38">
        <f>IF(Q299="PS",G299,0)</f>
        <v>0</v>
      </c>
      <c r="U299" s="38">
        <f>IF(Q299="PS",H299-P299,0)</f>
        <v>0</v>
      </c>
      <c r="V299" s="38">
        <f>IF(Q299="MP",G299,0)</f>
        <v>0</v>
      </c>
      <c r="W299" s="38">
        <f>IF(Q299="MP",H299-P299,0)</f>
        <v>0</v>
      </c>
      <c r="X299" s="38">
        <f>IF(Q299="OM",G299,0)</f>
        <v>0</v>
      </c>
      <c r="Y299" s="28"/>
      <c r="AI299" s="38">
        <f>SUM(Z300:Z302)</f>
        <v>0</v>
      </c>
      <c r="AJ299" s="38">
        <f>SUM(AA300:AA302)</f>
        <v>0</v>
      </c>
      <c r="AK299" s="38">
        <f>SUM(AB300:AB302)</f>
        <v>0</v>
      </c>
    </row>
    <row r="300" spans="1:43" ht="12.75">
      <c r="A300" s="4" t="s">
        <v>98</v>
      </c>
      <c r="B300" s="4" t="s">
        <v>214</v>
      </c>
      <c r="C300" s="4" t="s">
        <v>427</v>
      </c>
      <c r="D300" s="4" t="s">
        <v>451</v>
      </c>
      <c r="E300" s="18">
        <v>1</v>
      </c>
      <c r="F300" s="60">
        <v>0</v>
      </c>
      <c r="G300" s="18">
        <f>E300*AE300</f>
        <v>0</v>
      </c>
      <c r="H300" s="18">
        <f>I300-G300</f>
        <v>0</v>
      </c>
      <c r="I300" s="18">
        <f>E300*F300</f>
        <v>0</v>
      </c>
      <c r="J300" s="18">
        <v>0</v>
      </c>
      <c r="K300" s="18">
        <f>E300*J300</f>
        <v>0</v>
      </c>
      <c r="L300" s="31" t="s">
        <v>472</v>
      </c>
      <c r="N300" s="31" t="s">
        <v>8</v>
      </c>
      <c r="O300" s="18">
        <f>IF(N300="5",H300,0)</f>
        <v>0</v>
      </c>
      <c r="Z300" s="18">
        <f>IF(AD300=0,I300,0)</f>
        <v>0</v>
      </c>
      <c r="AA300" s="18">
        <f>IF(AD300=15,I300,0)</f>
        <v>0</v>
      </c>
      <c r="AB300" s="18">
        <f>IF(AD300=21,I300,0)</f>
        <v>0</v>
      </c>
      <c r="AD300" s="35">
        <v>21</v>
      </c>
      <c r="AE300" s="35">
        <f>F300*0</f>
        <v>0</v>
      </c>
      <c r="AF300" s="35">
        <f>F300*(1-0)</f>
        <v>0</v>
      </c>
      <c r="AM300" s="35">
        <f>E300*AE300</f>
        <v>0</v>
      </c>
      <c r="AN300" s="35">
        <f>E300*AF300</f>
        <v>0</v>
      </c>
      <c r="AO300" s="36" t="s">
        <v>508</v>
      </c>
      <c r="AP300" s="36" t="s">
        <v>520</v>
      </c>
      <c r="AQ300" s="28" t="s">
        <v>521</v>
      </c>
    </row>
    <row r="301" spans="3:5" ht="12.75">
      <c r="C301" s="15" t="s">
        <v>7</v>
      </c>
      <c r="E301" s="19">
        <v>1</v>
      </c>
    </row>
    <row r="302" spans="1:43" ht="12.75">
      <c r="A302" s="4" t="s">
        <v>99</v>
      </c>
      <c r="B302" s="4" t="s">
        <v>215</v>
      </c>
      <c r="C302" s="4" t="s">
        <v>428</v>
      </c>
      <c r="D302" s="4" t="s">
        <v>451</v>
      </c>
      <c r="E302" s="18">
        <v>1</v>
      </c>
      <c r="F302" s="60">
        <v>0</v>
      </c>
      <c r="G302" s="18">
        <f>E302*AE302</f>
        <v>0</v>
      </c>
      <c r="H302" s="18">
        <f>I302-G302</f>
        <v>0</v>
      </c>
      <c r="I302" s="18">
        <f>E302*F302</f>
        <v>0</v>
      </c>
      <c r="J302" s="18">
        <v>0</v>
      </c>
      <c r="K302" s="18">
        <f>E302*J302</f>
        <v>0</v>
      </c>
      <c r="L302" s="31" t="s">
        <v>472</v>
      </c>
      <c r="N302" s="31" t="s">
        <v>8</v>
      </c>
      <c r="O302" s="18">
        <f>IF(N302="5",H302,0)</f>
        <v>0</v>
      </c>
      <c r="Z302" s="18">
        <f>IF(AD302=0,I302,0)</f>
        <v>0</v>
      </c>
      <c r="AA302" s="18">
        <f>IF(AD302=15,I302,0)</f>
        <v>0</v>
      </c>
      <c r="AB302" s="18">
        <f>IF(AD302=21,I302,0)</f>
        <v>0</v>
      </c>
      <c r="AD302" s="35">
        <v>21</v>
      </c>
      <c r="AE302" s="35">
        <f>F302*0</f>
        <v>0</v>
      </c>
      <c r="AF302" s="35">
        <f>F302*(1-0)</f>
        <v>0</v>
      </c>
      <c r="AM302" s="35">
        <f>E302*AE302</f>
        <v>0</v>
      </c>
      <c r="AN302" s="35">
        <f>E302*AF302</f>
        <v>0</v>
      </c>
      <c r="AO302" s="36" t="s">
        <v>508</v>
      </c>
      <c r="AP302" s="36" t="s">
        <v>520</v>
      </c>
      <c r="AQ302" s="28" t="s">
        <v>521</v>
      </c>
    </row>
    <row r="303" spans="3:5" ht="12.75">
      <c r="C303" s="15" t="s">
        <v>7</v>
      </c>
      <c r="E303" s="19">
        <v>1</v>
      </c>
    </row>
    <row r="304" spans="1:37" ht="12.75">
      <c r="A304" s="5"/>
      <c r="B304" s="13" t="s">
        <v>216</v>
      </c>
      <c r="C304" s="120" t="s">
        <v>429</v>
      </c>
      <c r="D304" s="121"/>
      <c r="E304" s="121"/>
      <c r="F304" s="121"/>
      <c r="G304" s="38">
        <f>SUM(G305:G305)</f>
        <v>0</v>
      </c>
      <c r="H304" s="38">
        <f>SUM(H305:H305)</f>
        <v>0</v>
      </c>
      <c r="I304" s="38">
        <f>G304+H304</f>
        <v>0</v>
      </c>
      <c r="J304" s="28"/>
      <c r="K304" s="38">
        <f>SUM(K305:K305)</f>
        <v>0</v>
      </c>
      <c r="L304" s="28"/>
      <c r="P304" s="38">
        <f>IF(Q304="PR",I304,SUM(O305:O305))</f>
        <v>0</v>
      </c>
      <c r="Q304" s="28" t="s">
        <v>478</v>
      </c>
      <c r="R304" s="38">
        <f>IF(Q304="HS",G304,0)</f>
        <v>0</v>
      </c>
      <c r="S304" s="38">
        <f>IF(Q304="HS",H304-P304,0)</f>
        <v>0</v>
      </c>
      <c r="T304" s="38">
        <f>IF(Q304="PS",G304,0)</f>
        <v>0</v>
      </c>
      <c r="U304" s="38">
        <f>IF(Q304="PS",H304-P304,0)</f>
        <v>0</v>
      </c>
      <c r="V304" s="38">
        <f>IF(Q304="MP",G304,0)</f>
        <v>0</v>
      </c>
      <c r="W304" s="38">
        <f>IF(Q304="MP",H304-P304,0)</f>
        <v>0</v>
      </c>
      <c r="X304" s="38">
        <f>IF(Q304="OM",G304,0)</f>
        <v>0</v>
      </c>
      <c r="Y304" s="28"/>
      <c r="AI304" s="38">
        <f>SUM(Z305:Z305)</f>
        <v>0</v>
      </c>
      <c r="AJ304" s="38">
        <f>SUM(AA305:AA305)</f>
        <v>0</v>
      </c>
      <c r="AK304" s="38">
        <f>SUM(AB305:AB305)</f>
        <v>0</v>
      </c>
    </row>
    <row r="305" spans="1:43" ht="12.75">
      <c r="A305" s="4" t="s">
        <v>100</v>
      </c>
      <c r="B305" s="4" t="s">
        <v>217</v>
      </c>
      <c r="C305" s="4" t="s">
        <v>430</v>
      </c>
      <c r="D305" s="4" t="s">
        <v>453</v>
      </c>
      <c r="E305" s="18">
        <v>16</v>
      </c>
      <c r="F305" s="60">
        <v>0</v>
      </c>
      <c r="G305" s="18">
        <f>E305*AE305</f>
        <v>0</v>
      </c>
      <c r="H305" s="18">
        <f>I305-G305</f>
        <v>0</v>
      </c>
      <c r="I305" s="18">
        <f>E305*F305</f>
        <v>0</v>
      </c>
      <c r="J305" s="18">
        <v>0</v>
      </c>
      <c r="K305" s="18">
        <f>E305*J305</f>
        <v>0</v>
      </c>
      <c r="L305" s="31" t="s">
        <v>471</v>
      </c>
      <c r="N305" s="31" t="s">
        <v>8</v>
      </c>
      <c r="O305" s="18">
        <f>IF(N305="5",H305,0)</f>
        <v>0</v>
      </c>
      <c r="Z305" s="18">
        <f>IF(AD305=0,I305,0)</f>
        <v>0</v>
      </c>
      <c r="AA305" s="18">
        <f>IF(AD305=15,I305,0)</f>
        <v>0</v>
      </c>
      <c r="AB305" s="18">
        <f>IF(AD305=21,I305,0)</f>
        <v>0</v>
      </c>
      <c r="AD305" s="35">
        <v>21</v>
      </c>
      <c r="AE305" s="35">
        <f>F305*0</f>
        <v>0</v>
      </c>
      <c r="AF305" s="35">
        <f>F305*(1-0)</f>
        <v>0</v>
      </c>
      <c r="AM305" s="35">
        <f>E305*AE305</f>
        <v>0</v>
      </c>
      <c r="AN305" s="35">
        <f>E305*AF305</f>
        <v>0</v>
      </c>
      <c r="AO305" s="36" t="s">
        <v>509</v>
      </c>
      <c r="AP305" s="36" t="s">
        <v>520</v>
      </c>
      <c r="AQ305" s="28" t="s">
        <v>521</v>
      </c>
    </row>
    <row r="306" spans="3:5" ht="12.75">
      <c r="C306" s="15" t="s">
        <v>22</v>
      </c>
      <c r="E306" s="19">
        <v>16</v>
      </c>
    </row>
    <row r="307" spans="1:37" ht="12.75">
      <c r="A307" s="5"/>
      <c r="B307" s="13" t="s">
        <v>218</v>
      </c>
      <c r="C307" s="120" t="s">
        <v>431</v>
      </c>
      <c r="D307" s="121"/>
      <c r="E307" s="121"/>
      <c r="F307" s="121"/>
      <c r="G307" s="38">
        <f>SUM(G308:G318)</f>
        <v>0</v>
      </c>
      <c r="H307" s="38">
        <f>SUM(H308:H318)</f>
        <v>0</v>
      </c>
      <c r="I307" s="38">
        <f>G307+H307</f>
        <v>0</v>
      </c>
      <c r="J307" s="28"/>
      <c r="K307" s="38">
        <f>SUM(K308:K318)</f>
        <v>0</v>
      </c>
      <c r="L307" s="28"/>
      <c r="P307" s="38">
        <f>IF(Q307="PR",I307,SUM(O308:O318))</f>
        <v>0</v>
      </c>
      <c r="Q307" s="28" t="s">
        <v>476</v>
      </c>
      <c r="R307" s="38">
        <f>IF(Q307="HS",G307,0)</f>
        <v>0</v>
      </c>
      <c r="S307" s="38">
        <f>IF(Q307="HS",H307-P307,0)</f>
        <v>0</v>
      </c>
      <c r="T307" s="38">
        <f>IF(Q307="PS",G307,0)</f>
        <v>0</v>
      </c>
      <c r="U307" s="38">
        <f>IF(Q307="PS",H307-P307,0)</f>
        <v>0</v>
      </c>
      <c r="V307" s="38">
        <f>IF(Q307="MP",G307,0)</f>
        <v>0</v>
      </c>
      <c r="W307" s="38">
        <f>IF(Q307="MP",H307-P307,0)</f>
        <v>0</v>
      </c>
      <c r="X307" s="38">
        <f>IF(Q307="OM",G307,0)</f>
        <v>0</v>
      </c>
      <c r="Y307" s="28"/>
      <c r="AI307" s="38">
        <f>SUM(Z308:Z318)</f>
        <v>0</v>
      </c>
      <c r="AJ307" s="38">
        <f>SUM(AA308:AA318)</f>
        <v>0</v>
      </c>
      <c r="AK307" s="38">
        <f>SUM(AB308:AB318)</f>
        <v>0</v>
      </c>
    </row>
    <row r="308" spans="1:43" ht="12.75">
      <c r="A308" s="4" t="s">
        <v>101</v>
      </c>
      <c r="B308" s="4" t="s">
        <v>219</v>
      </c>
      <c r="C308" s="4" t="s">
        <v>432</v>
      </c>
      <c r="D308" s="4" t="s">
        <v>452</v>
      </c>
      <c r="E308" s="18">
        <v>14.97</v>
      </c>
      <c r="F308" s="60">
        <v>0</v>
      </c>
      <c r="G308" s="18">
        <f>E308*AE308</f>
        <v>0</v>
      </c>
      <c r="H308" s="18">
        <f>I308-G308</f>
        <v>0</v>
      </c>
      <c r="I308" s="18">
        <f>E308*F308</f>
        <v>0</v>
      </c>
      <c r="J308" s="18">
        <v>0</v>
      </c>
      <c r="K308" s="18">
        <f>E308*J308</f>
        <v>0</v>
      </c>
      <c r="L308" s="31" t="s">
        <v>471</v>
      </c>
      <c r="N308" s="31" t="s">
        <v>11</v>
      </c>
      <c r="O308" s="18">
        <f>IF(N308="5",H308,0)</f>
        <v>0</v>
      </c>
      <c r="Z308" s="18">
        <f>IF(AD308=0,I308,0)</f>
        <v>0</v>
      </c>
      <c r="AA308" s="18">
        <f>IF(AD308=15,I308,0)</f>
        <v>0</v>
      </c>
      <c r="AB308" s="18">
        <f>IF(AD308=21,I308,0)</f>
        <v>0</v>
      </c>
      <c r="AD308" s="35">
        <v>21</v>
      </c>
      <c r="AE308" s="35">
        <f>F308*0</f>
        <v>0</v>
      </c>
      <c r="AF308" s="35">
        <f>F308*(1-0)</f>
        <v>0</v>
      </c>
      <c r="AM308" s="35">
        <f>E308*AE308</f>
        <v>0</v>
      </c>
      <c r="AN308" s="35">
        <f>E308*AF308</f>
        <v>0</v>
      </c>
      <c r="AO308" s="36" t="s">
        <v>510</v>
      </c>
      <c r="AP308" s="36" t="s">
        <v>520</v>
      </c>
      <c r="AQ308" s="28" t="s">
        <v>521</v>
      </c>
    </row>
    <row r="309" spans="3:5" ht="12.75">
      <c r="C309" s="15" t="s">
        <v>433</v>
      </c>
      <c r="E309" s="19">
        <v>14.97</v>
      </c>
    </row>
    <row r="310" spans="1:43" ht="12.75">
      <c r="A310" s="4" t="s">
        <v>102</v>
      </c>
      <c r="B310" s="4" t="s">
        <v>220</v>
      </c>
      <c r="C310" s="4" t="s">
        <v>434</v>
      </c>
      <c r="D310" s="4" t="s">
        <v>452</v>
      </c>
      <c r="E310" s="18">
        <v>14.97</v>
      </c>
      <c r="F310" s="60">
        <v>0</v>
      </c>
      <c r="G310" s="18">
        <f>E310*AE310</f>
        <v>0</v>
      </c>
      <c r="H310" s="18">
        <f>I310-G310</f>
        <v>0</v>
      </c>
      <c r="I310" s="18">
        <f>E310*F310</f>
        <v>0</v>
      </c>
      <c r="J310" s="18">
        <v>0</v>
      </c>
      <c r="K310" s="18">
        <f>E310*J310</f>
        <v>0</v>
      </c>
      <c r="L310" s="31" t="s">
        <v>471</v>
      </c>
      <c r="N310" s="31" t="s">
        <v>11</v>
      </c>
      <c r="O310" s="18">
        <f>IF(N310="5",H310,0)</f>
        <v>0</v>
      </c>
      <c r="Z310" s="18">
        <f>IF(AD310=0,I310,0)</f>
        <v>0</v>
      </c>
      <c r="AA310" s="18">
        <f>IF(AD310=15,I310,0)</f>
        <v>0</v>
      </c>
      <c r="AB310" s="18">
        <f>IF(AD310=21,I310,0)</f>
        <v>0</v>
      </c>
      <c r="AD310" s="35">
        <v>21</v>
      </c>
      <c r="AE310" s="35">
        <f>F310*0</f>
        <v>0</v>
      </c>
      <c r="AF310" s="35">
        <f>F310*(1-0)</f>
        <v>0</v>
      </c>
      <c r="AM310" s="35">
        <f>E310*AE310</f>
        <v>0</v>
      </c>
      <c r="AN310" s="35">
        <f>E310*AF310</f>
        <v>0</v>
      </c>
      <c r="AO310" s="36" t="s">
        <v>510</v>
      </c>
      <c r="AP310" s="36" t="s">
        <v>520</v>
      </c>
      <c r="AQ310" s="28" t="s">
        <v>521</v>
      </c>
    </row>
    <row r="311" spans="3:5" ht="12.75">
      <c r="C311" s="15" t="s">
        <v>433</v>
      </c>
      <c r="E311" s="19">
        <v>14.97</v>
      </c>
    </row>
    <row r="312" spans="1:43" ht="12.75">
      <c r="A312" s="4" t="s">
        <v>103</v>
      </c>
      <c r="B312" s="4" t="s">
        <v>221</v>
      </c>
      <c r="C312" s="4" t="s">
        <v>435</v>
      </c>
      <c r="D312" s="4" t="s">
        <v>452</v>
      </c>
      <c r="E312" s="18">
        <v>224.55</v>
      </c>
      <c r="F312" s="60">
        <v>0</v>
      </c>
      <c r="G312" s="18">
        <f>E312*AE312</f>
        <v>0</v>
      </c>
      <c r="H312" s="18">
        <f>I312-G312</f>
        <v>0</v>
      </c>
      <c r="I312" s="18">
        <f>E312*F312</f>
        <v>0</v>
      </c>
      <c r="J312" s="18">
        <v>0</v>
      </c>
      <c r="K312" s="18">
        <f>E312*J312</f>
        <v>0</v>
      </c>
      <c r="L312" s="31" t="s">
        <v>471</v>
      </c>
      <c r="N312" s="31" t="s">
        <v>11</v>
      </c>
      <c r="O312" s="18">
        <f>IF(N312="5",H312,0)</f>
        <v>0</v>
      </c>
      <c r="Z312" s="18">
        <f>IF(AD312=0,I312,0)</f>
        <v>0</v>
      </c>
      <c r="AA312" s="18">
        <f>IF(AD312=15,I312,0)</f>
        <v>0</v>
      </c>
      <c r="AB312" s="18">
        <f>IF(AD312=21,I312,0)</f>
        <v>0</v>
      </c>
      <c r="AD312" s="35">
        <v>21</v>
      </c>
      <c r="AE312" s="35">
        <f>F312*0</f>
        <v>0</v>
      </c>
      <c r="AF312" s="35">
        <f>F312*(1-0)</f>
        <v>0</v>
      </c>
      <c r="AM312" s="35">
        <f>E312*AE312</f>
        <v>0</v>
      </c>
      <c r="AN312" s="35">
        <f>E312*AF312</f>
        <v>0</v>
      </c>
      <c r="AO312" s="36" t="s">
        <v>510</v>
      </c>
      <c r="AP312" s="36" t="s">
        <v>520</v>
      </c>
      <c r="AQ312" s="28" t="s">
        <v>521</v>
      </c>
    </row>
    <row r="313" spans="3:5" ht="12.75">
      <c r="C313" s="15" t="s">
        <v>436</v>
      </c>
      <c r="E313" s="19">
        <v>224.55</v>
      </c>
    </row>
    <row r="314" spans="1:43" ht="12.75">
      <c r="A314" s="4" t="s">
        <v>104</v>
      </c>
      <c r="B314" s="4" t="s">
        <v>222</v>
      </c>
      <c r="C314" s="4" t="s">
        <v>437</v>
      </c>
      <c r="D314" s="4" t="s">
        <v>452</v>
      </c>
      <c r="E314" s="18">
        <v>14.97</v>
      </c>
      <c r="F314" s="60">
        <v>0</v>
      </c>
      <c r="G314" s="18">
        <f>E314*AE314</f>
        <v>0</v>
      </c>
      <c r="H314" s="18">
        <f>I314-G314</f>
        <v>0</v>
      </c>
      <c r="I314" s="18">
        <f>E314*F314</f>
        <v>0</v>
      </c>
      <c r="J314" s="18">
        <v>0</v>
      </c>
      <c r="K314" s="18">
        <f>E314*J314</f>
        <v>0</v>
      </c>
      <c r="L314" s="31" t="s">
        <v>471</v>
      </c>
      <c r="N314" s="31" t="s">
        <v>11</v>
      </c>
      <c r="O314" s="18">
        <f>IF(N314="5",H314,0)</f>
        <v>0</v>
      </c>
      <c r="Z314" s="18">
        <f>IF(AD314=0,I314,0)</f>
        <v>0</v>
      </c>
      <c r="AA314" s="18">
        <f>IF(AD314=15,I314,0)</f>
        <v>0</v>
      </c>
      <c r="AB314" s="18">
        <f>IF(AD314=21,I314,0)</f>
        <v>0</v>
      </c>
      <c r="AD314" s="35">
        <v>21</v>
      </c>
      <c r="AE314" s="35">
        <f>F314*0.00916149068322981</f>
        <v>0</v>
      </c>
      <c r="AF314" s="35">
        <f>F314*(1-0.00916149068322981)</f>
        <v>0</v>
      </c>
      <c r="AM314" s="35">
        <f>E314*AE314</f>
        <v>0</v>
      </c>
      <c r="AN314" s="35">
        <f>E314*AF314</f>
        <v>0</v>
      </c>
      <c r="AO314" s="36" t="s">
        <v>510</v>
      </c>
      <c r="AP314" s="36" t="s">
        <v>520</v>
      </c>
      <c r="AQ314" s="28" t="s">
        <v>521</v>
      </c>
    </row>
    <row r="315" spans="3:5" ht="12.75">
      <c r="C315" s="15" t="s">
        <v>433</v>
      </c>
      <c r="E315" s="19">
        <v>14.97</v>
      </c>
    </row>
    <row r="316" spans="1:43" ht="12.75">
      <c r="A316" s="4" t="s">
        <v>105</v>
      </c>
      <c r="B316" s="4" t="s">
        <v>223</v>
      </c>
      <c r="C316" s="4" t="s">
        <v>438</v>
      </c>
      <c r="D316" s="4" t="s">
        <v>452</v>
      </c>
      <c r="E316" s="18">
        <v>104.79</v>
      </c>
      <c r="F316" s="60">
        <v>0</v>
      </c>
      <c r="G316" s="18">
        <f>E316*AE316</f>
        <v>0</v>
      </c>
      <c r="H316" s="18">
        <f>I316-G316</f>
        <v>0</v>
      </c>
      <c r="I316" s="18">
        <f>E316*F316</f>
        <v>0</v>
      </c>
      <c r="J316" s="18">
        <v>0</v>
      </c>
      <c r="K316" s="18">
        <f>E316*J316</f>
        <v>0</v>
      </c>
      <c r="L316" s="31" t="s">
        <v>471</v>
      </c>
      <c r="N316" s="31" t="s">
        <v>11</v>
      </c>
      <c r="O316" s="18">
        <f>IF(N316="5",H316,0)</f>
        <v>0</v>
      </c>
      <c r="Z316" s="18">
        <f>IF(AD316=0,I316,0)</f>
        <v>0</v>
      </c>
      <c r="AA316" s="18">
        <f>IF(AD316=15,I316,0)</f>
        <v>0</v>
      </c>
      <c r="AB316" s="18">
        <f>IF(AD316=21,I316,0)</f>
        <v>0</v>
      </c>
      <c r="AD316" s="35">
        <v>21</v>
      </c>
      <c r="AE316" s="35">
        <f>F316*0</f>
        <v>0</v>
      </c>
      <c r="AF316" s="35">
        <f>F316*(1-0)</f>
        <v>0</v>
      </c>
      <c r="AM316" s="35">
        <f>E316*AE316</f>
        <v>0</v>
      </c>
      <c r="AN316" s="35">
        <f>E316*AF316</f>
        <v>0</v>
      </c>
      <c r="AO316" s="36" t="s">
        <v>510</v>
      </c>
      <c r="AP316" s="36" t="s">
        <v>520</v>
      </c>
      <c r="AQ316" s="28" t="s">
        <v>521</v>
      </c>
    </row>
    <row r="317" spans="3:5" ht="12.75">
      <c r="C317" s="15" t="s">
        <v>439</v>
      </c>
      <c r="E317" s="19">
        <v>104.79</v>
      </c>
    </row>
    <row r="318" spans="1:43" ht="12.75">
      <c r="A318" s="4" t="s">
        <v>106</v>
      </c>
      <c r="B318" s="4" t="s">
        <v>224</v>
      </c>
      <c r="C318" s="4" t="s">
        <v>440</v>
      </c>
      <c r="D318" s="4" t="s">
        <v>452</v>
      </c>
      <c r="E318" s="18">
        <v>14.97</v>
      </c>
      <c r="F318" s="60">
        <v>0</v>
      </c>
      <c r="G318" s="18">
        <f>E318*AE318</f>
        <v>0</v>
      </c>
      <c r="H318" s="18">
        <f>I318-G318</f>
        <v>0</v>
      </c>
      <c r="I318" s="18">
        <f>E318*F318</f>
        <v>0</v>
      </c>
      <c r="J318" s="18">
        <v>0</v>
      </c>
      <c r="K318" s="18">
        <f>E318*J318</f>
        <v>0</v>
      </c>
      <c r="L318" s="31" t="s">
        <v>471</v>
      </c>
      <c r="N318" s="31" t="s">
        <v>11</v>
      </c>
      <c r="O318" s="18">
        <f>IF(N318="5",H318,0)</f>
        <v>0</v>
      </c>
      <c r="Z318" s="18">
        <f>IF(AD318=0,I318,0)</f>
        <v>0</v>
      </c>
      <c r="AA318" s="18">
        <f>IF(AD318=15,I318,0)</f>
        <v>0</v>
      </c>
      <c r="AB318" s="18">
        <f>IF(AD318=21,I318,0)</f>
        <v>0</v>
      </c>
      <c r="AD318" s="35">
        <v>21</v>
      </c>
      <c r="AE318" s="35">
        <f>F318*0</f>
        <v>0</v>
      </c>
      <c r="AF318" s="35">
        <f>F318*(1-0)</f>
        <v>0</v>
      </c>
      <c r="AM318" s="35">
        <f>E318*AE318</f>
        <v>0</v>
      </c>
      <c r="AN318" s="35">
        <f>E318*AF318</f>
        <v>0</v>
      </c>
      <c r="AO318" s="36" t="s">
        <v>510</v>
      </c>
      <c r="AP318" s="36" t="s">
        <v>520</v>
      </c>
      <c r="AQ318" s="28" t="s">
        <v>521</v>
      </c>
    </row>
    <row r="319" spans="1:12" ht="12.75">
      <c r="A319" s="7"/>
      <c r="B319" s="7"/>
      <c r="C319" s="16" t="s">
        <v>433</v>
      </c>
      <c r="D319" s="7"/>
      <c r="E319" s="21">
        <v>14.97</v>
      </c>
      <c r="F319" s="7"/>
      <c r="G319" s="7"/>
      <c r="H319" s="7"/>
      <c r="I319" s="7"/>
      <c r="J319" s="7"/>
      <c r="K319" s="7"/>
      <c r="L319" s="7"/>
    </row>
    <row r="320" spans="1:28" ht="12.75">
      <c r="A320" s="8"/>
      <c r="B320" s="8"/>
      <c r="C320" s="8"/>
      <c r="D320" s="8"/>
      <c r="E320" s="8"/>
      <c r="F320" s="8"/>
      <c r="G320" s="122" t="s">
        <v>459</v>
      </c>
      <c r="H320" s="67"/>
      <c r="I320" s="39">
        <f>I12+I21+I34+I40+I48+I53+I72+I88+I93+I100+I105+I110+I126+I131+I147+I199+I204+I223+I229+I244+I266+I296+I299+I304+I307</f>
        <v>0</v>
      </c>
      <c r="J320" s="8"/>
      <c r="K320" s="8"/>
      <c r="L320" s="8"/>
      <c r="Z320" s="40">
        <f>SUM(Z13:Z319)</f>
        <v>0</v>
      </c>
      <c r="AA320" s="40">
        <f>SUM(AA13:AA319)</f>
        <v>0</v>
      </c>
      <c r="AB320" s="40">
        <f>SUM(AB13:AB319)</f>
        <v>0</v>
      </c>
    </row>
    <row r="321" ht="11.25" customHeight="1">
      <c r="A321" s="9" t="s">
        <v>107</v>
      </c>
    </row>
    <row r="322" spans="1:12" ht="114.75" customHeight="1">
      <c r="A322" s="73" t="s">
        <v>108</v>
      </c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</row>
  </sheetData>
  <sheetProtection/>
  <mergeCells count="54">
    <mergeCell ref="C299:F299"/>
    <mergeCell ref="C304:F304"/>
    <mergeCell ref="C307:F307"/>
    <mergeCell ref="G320:H320"/>
    <mergeCell ref="A322:L322"/>
    <mergeCell ref="C204:F204"/>
    <mergeCell ref="C223:F223"/>
    <mergeCell ref="C229:F229"/>
    <mergeCell ref="C244:F244"/>
    <mergeCell ref="C266:F266"/>
    <mergeCell ref="C296:F296"/>
    <mergeCell ref="C105:F105"/>
    <mergeCell ref="C110:F110"/>
    <mergeCell ref="C126:F126"/>
    <mergeCell ref="C131:F131"/>
    <mergeCell ref="C147:F147"/>
    <mergeCell ref="C199:F199"/>
    <mergeCell ref="C48:F48"/>
    <mergeCell ref="C53:F53"/>
    <mergeCell ref="C72:F72"/>
    <mergeCell ref="C88:F88"/>
    <mergeCell ref="C93:F93"/>
    <mergeCell ref="C100:F100"/>
    <mergeCell ref="G10:I10"/>
    <mergeCell ref="J10:K10"/>
    <mergeCell ref="C12:F12"/>
    <mergeCell ref="C21:F21"/>
    <mergeCell ref="C34:F34"/>
    <mergeCell ref="C40:F40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25">
      <selection activeCell="A1" sqref="A1:IV16384"/>
    </sheetView>
  </sheetViews>
  <sheetFormatPr defaultColWidth="11.421875" defaultRowHeight="12.75"/>
  <cols>
    <col min="1" max="1" width="7.57421875" style="123" customWidth="1"/>
    <col min="2" max="2" width="37.140625" style="261" customWidth="1"/>
    <col min="3" max="3" width="24.421875" style="262" customWidth="1"/>
    <col min="4" max="4" width="19.00390625" style="263" customWidth="1"/>
    <col min="5" max="5" width="18.8515625" style="264" customWidth="1"/>
    <col min="6" max="6" width="15.57421875" style="265" customWidth="1"/>
    <col min="7" max="7" width="37.00390625" style="265" customWidth="1"/>
    <col min="8" max="8" width="14.421875" style="266" customWidth="1"/>
    <col min="9" max="9" width="6.00390625" style="267" customWidth="1"/>
    <col min="10" max="10" width="17.00390625" style="268" customWidth="1"/>
    <col min="11" max="13" width="16.8515625" style="269" customWidth="1"/>
    <col min="14" max="14" width="3.00390625" style="129" customWidth="1"/>
    <col min="15" max="131" width="11.421875" style="129" customWidth="1"/>
    <col min="132" max="16384" width="11.421875" style="130" customWidth="1"/>
  </cols>
  <sheetData>
    <row r="1" spans="2:13" ht="18.75" customHeight="1">
      <c r="B1" s="124" t="s">
        <v>297</v>
      </c>
      <c r="C1" s="124"/>
      <c r="D1" s="124"/>
      <c r="E1" s="124"/>
      <c r="F1" s="124"/>
      <c r="G1" s="124"/>
      <c r="H1" s="125"/>
      <c r="I1" s="126"/>
      <c r="J1" s="127"/>
      <c r="K1" s="128"/>
      <c r="L1" s="128"/>
      <c r="M1" s="128"/>
    </row>
    <row r="2" spans="1:13" s="129" customFormat="1" ht="20.25">
      <c r="A2" s="131"/>
      <c r="B2" s="132"/>
      <c r="C2" s="133"/>
      <c r="D2" s="134"/>
      <c r="E2" s="135"/>
      <c r="F2" s="136"/>
      <c r="G2" s="132"/>
      <c r="H2" s="137"/>
      <c r="I2" s="138"/>
      <c r="J2" s="139"/>
      <c r="K2" s="140"/>
      <c r="L2" s="140"/>
      <c r="M2" s="140"/>
    </row>
    <row r="3" spans="1:13" s="152" customFormat="1" ht="16.5">
      <c r="A3" s="141"/>
      <c r="B3" s="142" t="s">
        <v>559</v>
      </c>
      <c r="C3" s="143"/>
      <c r="D3" s="144"/>
      <c r="E3" s="145"/>
      <c r="F3" s="146"/>
      <c r="G3" s="147"/>
      <c r="H3" s="148"/>
      <c r="I3" s="149"/>
      <c r="J3" s="150"/>
      <c r="K3" s="151"/>
      <c r="L3" s="151"/>
      <c r="M3" s="151"/>
    </row>
    <row r="4" spans="1:13" s="162" customFormat="1" ht="16.5">
      <c r="A4" s="153"/>
      <c r="B4" s="154"/>
      <c r="C4" s="133"/>
      <c r="D4" s="154"/>
      <c r="E4" s="155"/>
      <c r="F4" s="156"/>
      <c r="G4" s="157"/>
      <c r="H4" s="158"/>
      <c r="I4" s="159"/>
      <c r="J4" s="160"/>
      <c r="K4" s="161"/>
      <c r="L4" s="161"/>
      <c r="M4" s="161"/>
    </row>
    <row r="5" spans="1:13" s="173" customFormat="1" ht="37.5" customHeight="1">
      <c r="A5" s="163" t="s">
        <v>560</v>
      </c>
      <c r="B5" s="164" t="s">
        <v>561</v>
      </c>
      <c r="C5" s="165" t="s">
        <v>562</v>
      </c>
      <c r="D5" s="166"/>
      <c r="E5" s="167"/>
      <c r="F5" s="168"/>
      <c r="G5" s="168"/>
      <c r="H5" s="169"/>
      <c r="I5" s="170"/>
      <c r="J5" s="171"/>
      <c r="K5" s="172"/>
      <c r="L5" s="172"/>
      <c r="M5" s="172"/>
    </row>
    <row r="6" spans="1:13" s="184" customFormat="1" ht="18" customHeight="1">
      <c r="A6" s="174"/>
      <c r="B6" s="175"/>
      <c r="C6" s="176"/>
      <c r="D6" s="177"/>
      <c r="E6" s="178"/>
      <c r="F6" s="179"/>
      <c r="G6" s="179"/>
      <c r="H6" s="180"/>
      <c r="I6" s="181"/>
      <c r="J6" s="182"/>
      <c r="K6" s="183"/>
      <c r="L6" s="183"/>
      <c r="M6" s="183"/>
    </row>
    <row r="7" spans="1:15" s="194" customFormat="1" ht="24.75" customHeight="1">
      <c r="A7" s="185"/>
      <c r="B7" s="186" t="s">
        <v>563</v>
      </c>
      <c r="C7" s="187" t="s">
        <v>564</v>
      </c>
      <c r="D7" s="188" t="s">
        <v>565</v>
      </c>
      <c r="E7" s="189" t="s">
        <v>566</v>
      </c>
      <c r="F7" s="190" t="s">
        <v>567</v>
      </c>
      <c r="G7" s="190" t="s">
        <v>568</v>
      </c>
      <c r="H7" s="191" t="s">
        <v>569</v>
      </c>
      <c r="I7" s="192" t="s">
        <v>570</v>
      </c>
      <c r="J7" s="193" t="s">
        <v>571</v>
      </c>
      <c r="K7" s="193" t="s">
        <v>572</v>
      </c>
      <c r="L7" s="193" t="s">
        <v>573</v>
      </c>
      <c r="M7" s="193" t="s">
        <v>573</v>
      </c>
      <c r="O7" s="194" t="s">
        <v>574</v>
      </c>
    </row>
    <row r="8" spans="1:15" s="129" customFormat="1" ht="13.5" customHeight="1">
      <c r="A8" s="131"/>
      <c r="B8" s="195"/>
      <c r="C8" s="196"/>
      <c r="D8" s="134"/>
      <c r="E8" s="197"/>
      <c r="F8" s="198"/>
      <c r="G8" s="199"/>
      <c r="H8" s="200"/>
      <c r="I8" s="201"/>
      <c r="J8" s="202"/>
      <c r="K8" s="202"/>
      <c r="L8" s="193" t="s">
        <v>575</v>
      </c>
      <c r="M8" s="193" t="s">
        <v>576</v>
      </c>
      <c r="O8" s="203"/>
    </row>
    <row r="9" spans="1:15" s="210" customFormat="1" ht="12.75">
      <c r="A9" s="131" t="s">
        <v>577</v>
      </c>
      <c r="B9" s="195" t="s">
        <v>578</v>
      </c>
      <c r="C9" s="204" t="s">
        <v>579</v>
      </c>
      <c r="D9" s="205" t="s">
        <v>580</v>
      </c>
      <c r="E9" s="205" t="s">
        <v>581</v>
      </c>
      <c r="F9" s="206" t="s">
        <v>582</v>
      </c>
      <c r="G9" s="199" t="s">
        <v>583</v>
      </c>
      <c r="H9" s="207" t="s">
        <v>584</v>
      </c>
      <c r="I9" s="201">
        <v>2</v>
      </c>
      <c r="J9" s="208">
        <v>0</v>
      </c>
      <c r="K9" s="202">
        <f aca="true" t="shared" si="0" ref="K9:K20">J9*I9</f>
        <v>0</v>
      </c>
      <c r="L9" s="209">
        <v>0</v>
      </c>
      <c r="M9" s="202">
        <f aca="true" t="shared" si="1" ref="M9:M20">L9*I9</f>
        <v>0</v>
      </c>
      <c r="O9" s="211" t="s">
        <v>585</v>
      </c>
    </row>
    <row r="10" spans="1:15" s="210" customFormat="1" ht="12.75">
      <c r="A10" s="131"/>
      <c r="B10" s="195"/>
      <c r="C10" s="204" t="s">
        <v>579</v>
      </c>
      <c r="D10" s="205" t="s">
        <v>580</v>
      </c>
      <c r="E10" s="212" t="s">
        <v>586</v>
      </c>
      <c r="F10" s="206" t="s">
        <v>582</v>
      </c>
      <c r="G10" s="199" t="s">
        <v>583</v>
      </c>
      <c r="H10" s="207" t="s">
        <v>587</v>
      </c>
      <c r="I10" s="201">
        <v>2</v>
      </c>
      <c r="J10" s="208">
        <v>0</v>
      </c>
      <c r="K10" s="202">
        <f t="shared" si="0"/>
        <v>0</v>
      </c>
      <c r="L10" s="209">
        <v>0</v>
      </c>
      <c r="M10" s="202">
        <f t="shared" si="1"/>
        <v>0</v>
      </c>
      <c r="O10" s="211" t="s">
        <v>588</v>
      </c>
    </row>
    <row r="11" spans="1:15" s="210" customFormat="1" ht="12.75">
      <c r="A11" s="131"/>
      <c r="B11" s="195"/>
      <c r="C11" s="204" t="s">
        <v>579</v>
      </c>
      <c r="D11" s="205" t="s">
        <v>580</v>
      </c>
      <c r="E11" s="212" t="s">
        <v>589</v>
      </c>
      <c r="F11" s="206" t="s">
        <v>582</v>
      </c>
      <c r="G11" s="199" t="s">
        <v>583</v>
      </c>
      <c r="H11" s="207" t="s">
        <v>590</v>
      </c>
      <c r="I11" s="201">
        <v>2</v>
      </c>
      <c r="J11" s="208">
        <v>0</v>
      </c>
      <c r="K11" s="202">
        <f t="shared" si="0"/>
        <v>0</v>
      </c>
      <c r="L11" s="209">
        <v>0</v>
      </c>
      <c r="M11" s="202">
        <f t="shared" si="1"/>
        <v>0</v>
      </c>
      <c r="O11" s="211" t="s">
        <v>591</v>
      </c>
    </row>
    <row r="12" spans="1:15" s="210" customFormat="1" ht="12.75">
      <c r="A12" s="131"/>
      <c r="B12" s="195"/>
      <c r="C12" s="204" t="s">
        <v>579</v>
      </c>
      <c r="D12" s="205" t="s">
        <v>580</v>
      </c>
      <c r="E12" s="212" t="s">
        <v>592</v>
      </c>
      <c r="F12" s="206" t="s">
        <v>582</v>
      </c>
      <c r="G12" s="199" t="s">
        <v>583</v>
      </c>
      <c r="H12" s="207" t="s">
        <v>593</v>
      </c>
      <c r="I12" s="201">
        <v>2</v>
      </c>
      <c r="J12" s="208">
        <v>0</v>
      </c>
      <c r="K12" s="202">
        <f t="shared" si="0"/>
        <v>0</v>
      </c>
      <c r="L12" s="209">
        <v>0</v>
      </c>
      <c r="M12" s="202">
        <f t="shared" si="1"/>
        <v>0</v>
      </c>
      <c r="O12" s="211" t="s">
        <v>594</v>
      </c>
    </row>
    <row r="13" spans="1:15" s="210" customFormat="1" ht="12.75">
      <c r="A13" s="131"/>
      <c r="B13" s="195" t="s">
        <v>595</v>
      </c>
      <c r="C13" s="204" t="s">
        <v>596</v>
      </c>
      <c r="D13" s="205" t="s">
        <v>597</v>
      </c>
      <c r="E13" s="212" t="s">
        <v>598</v>
      </c>
      <c r="F13" s="206" t="s">
        <v>582</v>
      </c>
      <c r="G13" s="199" t="s">
        <v>583</v>
      </c>
      <c r="H13" s="207" t="s">
        <v>584</v>
      </c>
      <c r="I13" s="201">
        <v>1</v>
      </c>
      <c r="J13" s="208">
        <v>0</v>
      </c>
      <c r="K13" s="202">
        <f t="shared" si="0"/>
        <v>0</v>
      </c>
      <c r="L13" s="209">
        <v>0</v>
      </c>
      <c r="M13" s="202">
        <f t="shared" si="1"/>
        <v>0</v>
      </c>
      <c r="O13" s="211" t="s">
        <v>599</v>
      </c>
    </row>
    <row r="14" spans="1:15" s="210" customFormat="1" ht="12.75">
      <c r="A14" s="131"/>
      <c r="B14" s="195"/>
      <c r="C14" s="204" t="s">
        <v>596</v>
      </c>
      <c r="D14" s="205" t="s">
        <v>597</v>
      </c>
      <c r="E14" s="212" t="s">
        <v>600</v>
      </c>
      <c r="F14" s="206" t="s">
        <v>582</v>
      </c>
      <c r="G14" s="199" t="s">
        <v>583</v>
      </c>
      <c r="H14" s="207" t="s">
        <v>587</v>
      </c>
      <c r="I14" s="201">
        <v>1</v>
      </c>
      <c r="J14" s="208">
        <v>0</v>
      </c>
      <c r="K14" s="202">
        <f t="shared" si="0"/>
        <v>0</v>
      </c>
      <c r="L14" s="209">
        <v>0</v>
      </c>
      <c r="M14" s="202">
        <f t="shared" si="1"/>
        <v>0</v>
      </c>
      <c r="O14" s="211" t="s">
        <v>601</v>
      </c>
    </row>
    <row r="15" spans="1:15" s="210" customFormat="1" ht="12.75">
      <c r="A15" s="131"/>
      <c r="B15" s="195"/>
      <c r="C15" s="204" t="s">
        <v>596</v>
      </c>
      <c r="D15" s="205" t="s">
        <v>597</v>
      </c>
      <c r="E15" s="212" t="s">
        <v>602</v>
      </c>
      <c r="F15" s="206" t="s">
        <v>582</v>
      </c>
      <c r="G15" s="199" t="s">
        <v>583</v>
      </c>
      <c r="H15" s="207" t="s">
        <v>590</v>
      </c>
      <c r="I15" s="201">
        <v>1</v>
      </c>
      <c r="J15" s="208">
        <v>0</v>
      </c>
      <c r="K15" s="202">
        <f t="shared" si="0"/>
        <v>0</v>
      </c>
      <c r="L15" s="209">
        <v>0</v>
      </c>
      <c r="M15" s="202">
        <f t="shared" si="1"/>
        <v>0</v>
      </c>
      <c r="O15" s="211" t="s">
        <v>603</v>
      </c>
    </row>
    <row r="16" spans="1:15" s="210" customFormat="1" ht="12.75">
      <c r="A16" s="131"/>
      <c r="B16" s="195"/>
      <c r="C16" s="204" t="s">
        <v>596</v>
      </c>
      <c r="D16" s="205" t="s">
        <v>597</v>
      </c>
      <c r="E16" s="212" t="s">
        <v>604</v>
      </c>
      <c r="F16" s="206" t="s">
        <v>582</v>
      </c>
      <c r="G16" s="199" t="s">
        <v>583</v>
      </c>
      <c r="H16" s="207" t="s">
        <v>593</v>
      </c>
      <c r="I16" s="201">
        <v>1</v>
      </c>
      <c r="J16" s="208">
        <v>0</v>
      </c>
      <c r="K16" s="202">
        <f t="shared" si="0"/>
        <v>0</v>
      </c>
      <c r="L16" s="209">
        <v>0</v>
      </c>
      <c r="M16" s="202">
        <f t="shared" si="1"/>
        <v>0</v>
      </c>
      <c r="O16" s="211" t="s">
        <v>605</v>
      </c>
    </row>
    <row r="17" spans="1:15" s="210" customFormat="1" ht="12.75">
      <c r="A17" s="131"/>
      <c r="B17" s="195" t="s">
        <v>606</v>
      </c>
      <c r="C17" s="204" t="s">
        <v>607</v>
      </c>
      <c r="D17" s="205" t="s">
        <v>608</v>
      </c>
      <c r="E17" s="212" t="s">
        <v>609</v>
      </c>
      <c r="F17" s="206" t="s">
        <v>582</v>
      </c>
      <c r="G17" s="199" t="s">
        <v>583</v>
      </c>
      <c r="H17" s="207" t="s">
        <v>584</v>
      </c>
      <c r="I17" s="201">
        <v>1</v>
      </c>
      <c r="J17" s="208">
        <v>0</v>
      </c>
      <c r="K17" s="202">
        <f t="shared" si="0"/>
        <v>0</v>
      </c>
      <c r="L17" s="209">
        <v>0</v>
      </c>
      <c r="M17" s="202">
        <f t="shared" si="1"/>
        <v>0</v>
      </c>
      <c r="O17" s="211" t="s">
        <v>610</v>
      </c>
    </row>
    <row r="18" spans="1:15" s="210" customFormat="1" ht="12.75">
      <c r="A18" s="131"/>
      <c r="B18" s="195"/>
      <c r="C18" s="204" t="s">
        <v>607</v>
      </c>
      <c r="D18" s="205" t="s">
        <v>608</v>
      </c>
      <c r="E18" s="212" t="s">
        <v>611</v>
      </c>
      <c r="F18" s="206" t="s">
        <v>582</v>
      </c>
      <c r="G18" s="199" t="s">
        <v>583</v>
      </c>
      <c r="H18" s="207" t="s">
        <v>587</v>
      </c>
      <c r="I18" s="201">
        <v>1</v>
      </c>
      <c r="J18" s="208">
        <v>0</v>
      </c>
      <c r="K18" s="202">
        <f t="shared" si="0"/>
        <v>0</v>
      </c>
      <c r="L18" s="209">
        <v>0</v>
      </c>
      <c r="M18" s="202">
        <f t="shared" si="1"/>
        <v>0</v>
      </c>
      <c r="O18" s="211" t="s">
        <v>612</v>
      </c>
    </row>
    <row r="19" spans="1:15" s="210" customFormat="1" ht="12.75">
      <c r="A19" s="131"/>
      <c r="B19" s="195"/>
      <c r="C19" s="204" t="s">
        <v>607</v>
      </c>
      <c r="D19" s="205" t="s">
        <v>608</v>
      </c>
      <c r="E19" s="212" t="s">
        <v>613</v>
      </c>
      <c r="F19" s="206" t="s">
        <v>582</v>
      </c>
      <c r="G19" s="199" t="s">
        <v>583</v>
      </c>
      <c r="H19" s="207" t="s">
        <v>590</v>
      </c>
      <c r="I19" s="201">
        <v>1</v>
      </c>
      <c r="J19" s="208">
        <v>0</v>
      </c>
      <c r="K19" s="202">
        <f t="shared" si="0"/>
        <v>0</v>
      </c>
      <c r="L19" s="209">
        <v>0</v>
      </c>
      <c r="M19" s="202">
        <f t="shared" si="1"/>
        <v>0</v>
      </c>
      <c r="O19" s="211" t="s">
        <v>614</v>
      </c>
    </row>
    <row r="20" spans="1:15" s="210" customFormat="1" ht="12.75">
      <c r="A20" s="131"/>
      <c r="B20" s="195"/>
      <c r="C20" s="204" t="s">
        <v>607</v>
      </c>
      <c r="D20" s="205" t="s">
        <v>608</v>
      </c>
      <c r="E20" s="212" t="s">
        <v>615</v>
      </c>
      <c r="F20" s="206" t="s">
        <v>582</v>
      </c>
      <c r="G20" s="199" t="s">
        <v>583</v>
      </c>
      <c r="H20" s="207" t="s">
        <v>593</v>
      </c>
      <c r="I20" s="201">
        <v>1</v>
      </c>
      <c r="J20" s="208">
        <v>0</v>
      </c>
      <c r="K20" s="202">
        <f t="shared" si="0"/>
        <v>0</v>
      </c>
      <c r="L20" s="209">
        <v>0</v>
      </c>
      <c r="M20" s="202">
        <f t="shared" si="1"/>
        <v>0</v>
      </c>
      <c r="O20" s="211" t="s">
        <v>616</v>
      </c>
    </row>
    <row r="21" spans="1:15" s="210" customFormat="1" ht="12.75">
      <c r="A21" s="131"/>
      <c r="B21" s="195"/>
      <c r="C21" s="204"/>
      <c r="D21" s="205"/>
      <c r="E21" s="197"/>
      <c r="F21" s="206"/>
      <c r="G21" s="199"/>
      <c r="H21" s="206" t="s">
        <v>617</v>
      </c>
      <c r="I21" s="213">
        <f>SUM(I9:I20)</f>
        <v>16</v>
      </c>
      <c r="J21" s="214"/>
      <c r="K21" s="202"/>
      <c r="L21" s="202"/>
      <c r="M21" s="202"/>
      <c r="O21" s="211"/>
    </row>
    <row r="22" spans="1:15" s="210" customFormat="1" ht="15">
      <c r="A22" s="131" t="s">
        <v>618</v>
      </c>
      <c r="B22" s="195" t="s">
        <v>619</v>
      </c>
      <c r="C22" s="204" t="s">
        <v>620</v>
      </c>
      <c r="D22" s="205" t="s">
        <v>621</v>
      </c>
      <c r="E22" s="197"/>
      <c r="F22" s="206" t="s">
        <v>622</v>
      </c>
      <c r="G22" s="215" t="s">
        <v>623</v>
      </c>
      <c r="H22" s="207" t="s">
        <v>624</v>
      </c>
      <c r="I22" s="201">
        <v>1</v>
      </c>
      <c r="J22" s="208">
        <v>0</v>
      </c>
      <c r="K22" s="202">
        <f>J22*I22</f>
        <v>0</v>
      </c>
      <c r="L22" s="209">
        <v>0</v>
      </c>
      <c r="M22" s="202">
        <f>L22*I22</f>
        <v>0</v>
      </c>
      <c r="O22" s="211"/>
    </row>
    <row r="23" spans="1:15" s="210" customFormat="1" ht="15">
      <c r="A23" s="131" t="s">
        <v>625</v>
      </c>
      <c r="B23" s="195" t="s">
        <v>619</v>
      </c>
      <c r="C23" s="204" t="s">
        <v>626</v>
      </c>
      <c r="D23" s="205" t="s">
        <v>621</v>
      </c>
      <c r="E23" s="197"/>
      <c r="F23" s="206" t="s">
        <v>622</v>
      </c>
      <c r="G23" s="215" t="s">
        <v>627</v>
      </c>
      <c r="H23" s="207" t="s">
        <v>624</v>
      </c>
      <c r="I23" s="201">
        <v>1</v>
      </c>
      <c r="J23" s="208">
        <v>0</v>
      </c>
      <c r="K23" s="202">
        <f>J23*I23</f>
        <v>0</v>
      </c>
      <c r="L23" s="209">
        <v>0</v>
      </c>
      <c r="M23" s="202">
        <f>L23*I23</f>
        <v>0</v>
      </c>
      <c r="O23" s="211"/>
    </row>
    <row r="24" spans="1:15" s="210" customFormat="1" ht="12.75">
      <c r="A24" s="131"/>
      <c r="B24" s="195"/>
      <c r="C24" s="204"/>
      <c r="D24" s="205"/>
      <c r="E24" s="197"/>
      <c r="F24" s="206"/>
      <c r="G24" s="199"/>
      <c r="H24" s="207"/>
      <c r="I24" s="201"/>
      <c r="J24" s="214"/>
      <c r="K24" s="202"/>
      <c r="L24" s="202"/>
      <c r="M24" s="202"/>
      <c r="O24" s="211"/>
    </row>
    <row r="25" spans="1:13" s="173" customFormat="1" ht="37.5" customHeight="1">
      <c r="A25" s="163" t="s">
        <v>560</v>
      </c>
      <c r="B25" s="164" t="s">
        <v>628</v>
      </c>
      <c r="C25" s="165" t="s">
        <v>629</v>
      </c>
      <c r="D25" s="166"/>
      <c r="E25" s="167"/>
      <c r="F25" s="168"/>
      <c r="G25" s="168"/>
      <c r="H25" s="169"/>
      <c r="I25" s="170"/>
      <c r="J25" s="171"/>
      <c r="K25" s="172"/>
      <c r="L25" s="172"/>
      <c r="M25" s="172"/>
    </row>
    <row r="26" spans="1:15" s="210" customFormat="1" ht="12.75">
      <c r="A26" s="131"/>
      <c r="B26" s="195"/>
      <c r="C26" s="204"/>
      <c r="D26" s="205"/>
      <c r="E26" s="197"/>
      <c r="F26" s="206"/>
      <c r="G26" s="199"/>
      <c r="H26" s="207"/>
      <c r="I26" s="201"/>
      <c r="J26" s="214"/>
      <c r="K26" s="202"/>
      <c r="L26" s="202"/>
      <c r="M26" s="202"/>
      <c r="O26" s="211"/>
    </row>
    <row r="27" spans="1:15" s="210" customFormat="1" ht="15.75">
      <c r="A27" s="131" t="s">
        <v>630</v>
      </c>
      <c r="B27" s="216" t="s">
        <v>631</v>
      </c>
      <c r="C27" s="199" t="s">
        <v>632</v>
      </c>
      <c r="D27" s="205"/>
      <c r="E27" s="205"/>
      <c r="F27" s="206"/>
      <c r="G27" s="199"/>
      <c r="H27" s="207" t="s">
        <v>633</v>
      </c>
      <c r="I27" s="201">
        <v>1</v>
      </c>
      <c r="J27" s="214">
        <v>0</v>
      </c>
      <c r="K27" s="202">
        <f aca="true" t="shared" si="2" ref="K27:K33">J27*I27</f>
        <v>0</v>
      </c>
      <c r="L27" s="209">
        <v>0</v>
      </c>
      <c r="M27" s="202">
        <f aca="true" t="shared" si="3" ref="M27:M33">L27*I27</f>
        <v>0</v>
      </c>
      <c r="O27" s="211"/>
    </row>
    <row r="28" spans="1:15" s="210" customFormat="1" ht="15.75">
      <c r="A28" s="131" t="s">
        <v>634</v>
      </c>
      <c r="B28" s="216" t="s">
        <v>635</v>
      </c>
      <c r="C28" s="199" t="s">
        <v>632</v>
      </c>
      <c r="D28" s="205"/>
      <c r="E28" s="197"/>
      <c r="F28" s="206"/>
      <c r="G28" s="199"/>
      <c r="H28" s="207" t="s">
        <v>633</v>
      </c>
      <c r="I28" s="201">
        <v>1</v>
      </c>
      <c r="J28" s="214">
        <v>0</v>
      </c>
      <c r="K28" s="202">
        <f t="shared" si="2"/>
        <v>0</v>
      </c>
      <c r="L28" s="209">
        <v>0</v>
      </c>
      <c r="M28" s="202">
        <f t="shared" si="3"/>
        <v>0</v>
      </c>
      <c r="O28" s="211"/>
    </row>
    <row r="29" spans="1:15" s="210" customFormat="1" ht="26.25">
      <c r="A29" s="131" t="s">
        <v>636</v>
      </c>
      <c r="B29" s="216" t="s">
        <v>637</v>
      </c>
      <c r="C29" s="217"/>
      <c r="D29" s="218" t="s">
        <v>638</v>
      </c>
      <c r="E29" s="219" t="s">
        <v>639</v>
      </c>
      <c r="F29" s="220" t="s">
        <v>640</v>
      </c>
      <c r="G29" s="220" t="s">
        <v>641</v>
      </c>
      <c r="H29" s="200" t="s">
        <v>642</v>
      </c>
      <c r="I29" s="221">
        <v>1</v>
      </c>
      <c r="J29" s="209">
        <v>0</v>
      </c>
      <c r="K29" s="222">
        <f t="shared" si="2"/>
        <v>0</v>
      </c>
      <c r="L29" s="209">
        <v>0</v>
      </c>
      <c r="M29" s="202">
        <f t="shared" si="3"/>
        <v>0</v>
      </c>
      <c r="N29" s="129"/>
      <c r="O29" s="203" t="s">
        <v>643</v>
      </c>
    </row>
    <row r="30" spans="1:15" s="210" customFormat="1" ht="12.75">
      <c r="A30" s="131" t="s">
        <v>644</v>
      </c>
      <c r="B30" s="195" t="s">
        <v>645</v>
      </c>
      <c r="C30" s="199" t="s">
        <v>632</v>
      </c>
      <c r="D30" s="205"/>
      <c r="E30" s="197"/>
      <c r="F30" s="206"/>
      <c r="G30" s="199"/>
      <c r="H30" s="207" t="s">
        <v>633</v>
      </c>
      <c r="I30" s="201">
        <v>1</v>
      </c>
      <c r="J30" s="214">
        <v>0</v>
      </c>
      <c r="K30" s="202">
        <f t="shared" si="2"/>
        <v>0</v>
      </c>
      <c r="L30" s="209">
        <v>0</v>
      </c>
      <c r="M30" s="202">
        <f t="shared" si="3"/>
        <v>0</v>
      </c>
      <c r="O30" s="211"/>
    </row>
    <row r="31" spans="1:15" s="138" customFormat="1" ht="29.25" customHeight="1">
      <c r="A31" s="131" t="s">
        <v>646</v>
      </c>
      <c r="B31" s="195" t="s">
        <v>647</v>
      </c>
      <c r="C31" s="204" t="s">
        <v>648</v>
      </c>
      <c r="D31" s="199"/>
      <c r="E31" s="223" t="s">
        <v>649</v>
      </c>
      <c r="F31" s="198" t="s">
        <v>650</v>
      </c>
      <c r="G31" s="199" t="s">
        <v>651</v>
      </c>
      <c r="H31" s="224"/>
      <c r="I31" s="201">
        <v>3</v>
      </c>
      <c r="J31" s="225">
        <v>0</v>
      </c>
      <c r="K31" s="226">
        <f t="shared" si="2"/>
        <v>0</v>
      </c>
      <c r="L31" s="209">
        <v>0</v>
      </c>
      <c r="M31" s="202">
        <f t="shared" si="3"/>
        <v>0</v>
      </c>
      <c r="O31" s="210" t="s">
        <v>652</v>
      </c>
    </row>
    <row r="32" spans="1:15" s="210" customFormat="1" ht="25.5">
      <c r="A32" s="131" t="s">
        <v>653</v>
      </c>
      <c r="B32" s="227" t="s">
        <v>654</v>
      </c>
      <c r="C32" s="204" t="s">
        <v>655</v>
      </c>
      <c r="D32" s="205" t="s">
        <v>656</v>
      </c>
      <c r="E32" s="197"/>
      <c r="F32" s="206"/>
      <c r="G32" s="199"/>
      <c r="H32" s="207"/>
      <c r="I32" s="201">
        <v>1</v>
      </c>
      <c r="J32" s="208">
        <v>0</v>
      </c>
      <c r="K32" s="202">
        <f t="shared" si="2"/>
        <v>0</v>
      </c>
      <c r="L32" s="209">
        <v>0</v>
      </c>
      <c r="M32" s="202">
        <f t="shared" si="3"/>
        <v>0</v>
      </c>
      <c r="O32" s="211"/>
    </row>
    <row r="33" spans="1:15" s="210" customFormat="1" ht="12.75">
      <c r="A33" s="131" t="s">
        <v>577</v>
      </c>
      <c r="B33" s="195" t="s">
        <v>657</v>
      </c>
      <c r="C33" s="204" t="s">
        <v>658</v>
      </c>
      <c r="D33" s="205" t="s">
        <v>580</v>
      </c>
      <c r="E33" s="205" t="s">
        <v>581</v>
      </c>
      <c r="F33" s="206" t="s">
        <v>582</v>
      </c>
      <c r="G33" s="199" t="s">
        <v>583</v>
      </c>
      <c r="H33" s="207" t="s">
        <v>584</v>
      </c>
      <c r="I33" s="201">
        <v>1</v>
      </c>
      <c r="J33" s="208">
        <v>0</v>
      </c>
      <c r="K33" s="202">
        <f t="shared" si="2"/>
        <v>0</v>
      </c>
      <c r="L33" s="209">
        <v>0</v>
      </c>
      <c r="M33" s="202">
        <f t="shared" si="3"/>
        <v>0</v>
      </c>
      <c r="O33" s="211" t="s">
        <v>585</v>
      </c>
    </row>
    <row r="34" spans="1:13" s="237" customFormat="1" ht="12.75">
      <c r="A34" s="228" t="s">
        <v>659</v>
      </c>
      <c r="B34" s="229" t="s">
        <v>660</v>
      </c>
      <c r="C34" s="230"/>
      <c r="D34" s="231"/>
      <c r="E34" s="232"/>
      <c r="F34" s="233"/>
      <c r="G34" s="231"/>
      <c r="H34" s="234"/>
      <c r="I34" s="235"/>
      <c r="J34" s="236"/>
      <c r="K34" s="236"/>
      <c r="L34" s="236"/>
      <c r="M34" s="236"/>
    </row>
    <row r="35" spans="1:15" s="210" customFormat="1" ht="89.25">
      <c r="A35" s="131"/>
      <c r="B35" s="195" t="s">
        <v>661</v>
      </c>
      <c r="C35" s="204" t="s">
        <v>662</v>
      </c>
      <c r="D35" s="205" t="s">
        <v>663</v>
      </c>
      <c r="E35" s="197" t="s">
        <v>664</v>
      </c>
      <c r="F35" s="206" t="s">
        <v>665</v>
      </c>
      <c r="G35" s="199" t="s">
        <v>666</v>
      </c>
      <c r="H35" s="207" t="s">
        <v>667</v>
      </c>
      <c r="I35" s="201">
        <v>1</v>
      </c>
      <c r="J35" s="208">
        <v>0</v>
      </c>
      <c r="K35" s="202">
        <f aca="true" t="shared" si="4" ref="K35:K44">J35*I35</f>
        <v>0</v>
      </c>
      <c r="L35" s="209">
        <v>0</v>
      </c>
      <c r="M35" s="202">
        <f aca="true" t="shared" si="5" ref="M35:M44">L35*I35</f>
        <v>0</v>
      </c>
      <c r="O35" s="211" t="s">
        <v>668</v>
      </c>
    </row>
    <row r="36" spans="1:15" s="210" customFormat="1" ht="63.75">
      <c r="A36" s="131"/>
      <c r="B36" s="195" t="s">
        <v>669</v>
      </c>
      <c r="C36" s="204" t="s">
        <v>670</v>
      </c>
      <c r="D36" s="205"/>
      <c r="E36" s="197"/>
      <c r="F36" s="206" t="s">
        <v>671</v>
      </c>
      <c r="G36" s="199"/>
      <c r="H36" s="207" t="s">
        <v>672</v>
      </c>
      <c r="I36" s="201">
        <v>1</v>
      </c>
      <c r="J36" s="208">
        <v>0</v>
      </c>
      <c r="K36" s="202">
        <f t="shared" si="4"/>
        <v>0</v>
      </c>
      <c r="L36" s="209">
        <v>0</v>
      </c>
      <c r="M36" s="202">
        <f t="shared" si="5"/>
        <v>0</v>
      </c>
      <c r="O36" s="211"/>
    </row>
    <row r="37" spans="1:15" s="210" customFormat="1" ht="25.5">
      <c r="A37" s="131"/>
      <c r="B37" s="195" t="s">
        <v>673</v>
      </c>
      <c r="C37" s="204"/>
      <c r="D37" s="205" t="s">
        <v>674</v>
      </c>
      <c r="E37" s="238" t="s">
        <v>675</v>
      </c>
      <c r="F37" s="198" t="s">
        <v>676</v>
      </c>
      <c r="G37" s="199" t="s">
        <v>677</v>
      </c>
      <c r="H37" s="239" t="s">
        <v>678</v>
      </c>
      <c r="I37" s="201">
        <v>1</v>
      </c>
      <c r="J37" s="208">
        <v>0</v>
      </c>
      <c r="K37" s="202">
        <f t="shared" si="4"/>
        <v>0</v>
      </c>
      <c r="L37" s="209">
        <v>0</v>
      </c>
      <c r="M37" s="202">
        <f t="shared" si="5"/>
        <v>0</v>
      </c>
      <c r="O37" s="210" t="s">
        <v>679</v>
      </c>
    </row>
    <row r="38" spans="1:15" s="210" customFormat="1" ht="12.75">
      <c r="A38" s="131"/>
      <c r="B38" s="195" t="s">
        <v>680</v>
      </c>
      <c r="C38" s="204"/>
      <c r="D38" s="205" t="s">
        <v>681</v>
      </c>
      <c r="E38" s="240">
        <v>50001000</v>
      </c>
      <c r="F38" s="198" t="s">
        <v>682</v>
      </c>
      <c r="G38" s="199" t="s">
        <v>683</v>
      </c>
      <c r="H38" s="239" t="s">
        <v>642</v>
      </c>
      <c r="I38" s="201">
        <v>1</v>
      </c>
      <c r="J38" s="225">
        <v>0</v>
      </c>
      <c r="K38" s="202">
        <f t="shared" si="4"/>
        <v>0</v>
      </c>
      <c r="L38" s="209">
        <v>0</v>
      </c>
      <c r="M38" s="202">
        <f t="shared" si="5"/>
        <v>0</v>
      </c>
      <c r="O38" s="211" t="s">
        <v>684</v>
      </c>
    </row>
    <row r="39" spans="1:15" s="129" customFormat="1" ht="25.5" customHeight="1">
      <c r="A39" s="131"/>
      <c r="B39" s="241" t="s">
        <v>685</v>
      </c>
      <c r="C39" s="204"/>
      <c r="D39" s="205"/>
      <c r="E39" s="242">
        <v>53900699</v>
      </c>
      <c r="F39" s="198" t="s">
        <v>686</v>
      </c>
      <c r="G39" s="243" t="s">
        <v>687</v>
      </c>
      <c r="H39" s="200"/>
      <c r="I39" s="201">
        <v>2</v>
      </c>
      <c r="J39" s="208">
        <v>0</v>
      </c>
      <c r="K39" s="202">
        <f t="shared" si="4"/>
        <v>0</v>
      </c>
      <c r="L39" s="209">
        <v>0</v>
      </c>
      <c r="M39" s="202">
        <f t="shared" si="5"/>
        <v>0</v>
      </c>
      <c r="O39" s="203" t="s">
        <v>688</v>
      </c>
    </row>
    <row r="40" spans="1:15" s="250" customFormat="1" ht="14.25" customHeight="1">
      <c r="A40" s="131"/>
      <c r="B40" s="241" t="s">
        <v>689</v>
      </c>
      <c r="C40" s="244"/>
      <c r="D40" s="205" t="s">
        <v>690</v>
      </c>
      <c r="E40" s="245" t="s">
        <v>691</v>
      </c>
      <c r="F40" s="246" t="s">
        <v>692</v>
      </c>
      <c r="G40" s="243" t="s">
        <v>693</v>
      </c>
      <c r="H40" s="247" t="s">
        <v>678</v>
      </c>
      <c r="I40" s="248">
        <v>1</v>
      </c>
      <c r="J40" s="249">
        <v>0</v>
      </c>
      <c r="K40" s="226">
        <f t="shared" si="4"/>
        <v>0</v>
      </c>
      <c r="L40" s="209">
        <v>0</v>
      </c>
      <c r="M40" s="202">
        <f t="shared" si="5"/>
        <v>0</v>
      </c>
      <c r="O40" s="250" t="s">
        <v>694</v>
      </c>
    </row>
    <row r="41" spans="1:15" s="210" customFormat="1" ht="38.25">
      <c r="A41" s="131" t="s">
        <v>695</v>
      </c>
      <c r="B41" s="195" t="s">
        <v>696</v>
      </c>
      <c r="C41" s="223" t="s">
        <v>697</v>
      </c>
      <c r="D41" s="205" t="s">
        <v>698</v>
      </c>
      <c r="E41" s="223" t="s">
        <v>699</v>
      </c>
      <c r="F41" s="138" t="s">
        <v>700</v>
      </c>
      <c r="G41" s="199" t="s">
        <v>701</v>
      </c>
      <c r="H41" s="223" t="s">
        <v>702</v>
      </c>
      <c r="I41" s="201">
        <v>1</v>
      </c>
      <c r="J41" s="225">
        <v>0</v>
      </c>
      <c r="K41" s="202">
        <f t="shared" si="4"/>
        <v>0</v>
      </c>
      <c r="L41" s="209">
        <v>0</v>
      </c>
      <c r="M41" s="202">
        <f t="shared" si="5"/>
        <v>0</v>
      </c>
      <c r="O41" s="211" t="s">
        <v>703</v>
      </c>
    </row>
    <row r="42" spans="1:15" s="210" customFormat="1" ht="75.75" customHeight="1">
      <c r="A42" s="131"/>
      <c r="B42" s="195" t="s">
        <v>704</v>
      </c>
      <c r="C42" s="204" t="s">
        <v>705</v>
      </c>
      <c r="D42" s="205"/>
      <c r="E42" s="197" t="s">
        <v>706</v>
      </c>
      <c r="F42" s="138" t="s">
        <v>700</v>
      </c>
      <c r="G42" s="199" t="s">
        <v>701</v>
      </c>
      <c r="H42" s="205"/>
      <c r="I42" s="201">
        <v>1</v>
      </c>
      <c r="J42" s="225">
        <v>0</v>
      </c>
      <c r="K42" s="202">
        <f t="shared" si="4"/>
        <v>0</v>
      </c>
      <c r="L42" s="209">
        <v>0</v>
      </c>
      <c r="M42" s="202">
        <f t="shared" si="5"/>
        <v>0</v>
      </c>
      <c r="O42" s="211" t="s">
        <v>707</v>
      </c>
    </row>
    <row r="43" spans="1:15" s="207" customFormat="1" ht="33" customHeight="1">
      <c r="A43" s="131" t="s">
        <v>708</v>
      </c>
      <c r="B43" s="251" t="s">
        <v>709</v>
      </c>
      <c r="C43" s="204" t="s">
        <v>710</v>
      </c>
      <c r="E43" s="204" t="s">
        <v>711</v>
      </c>
      <c r="F43" s="199" t="s">
        <v>712</v>
      </c>
      <c r="G43" s="199" t="s">
        <v>713</v>
      </c>
      <c r="H43" s="205"/>
      <c r="I43" s="252">
        <v>1</v>
      </c>
      <c r="J43" s="208">
        <v>0</v>
      </c>
      <c r="K43" s="202">
        <f t="shared" si="4"/>
        <v>0</v>
      </c>
      <c r="L43" s="209">
        <v>0</v>
      </c>
      <c r="M43" s="202">
        <f t="shared" si="5"/>
        <v>0</v>
      </c>
      <c r="O43" s="253" t="s">
        <v>714</v>
      </c>
    </row>
    <row r="44" spans="1:15" s="250" customFormat="1" ht="12.75">
      <c r="A44" s="131"/>
      <c r="B44" s="241" t="s">
        <v>715</v>
      </c>
      <c r="C44" s="254"/>
      <c r="D44" s="205"/>
      <c r="E44" s="245" t="s">
        <v>716</v>
      </c>
      <c r="F44" s="246" t="s">
        <v>712</v>
      </c>
      <c r="G44" s="243" t="s">
        <v>717</v>
      </c>
      <c r="H44" s="247"/>
      <c r="I44" s="248">
        <v>1</v>
      </c>
      <c r="J44" s="249">
        <v>0</v>
      </c>
      <c r="K44" s="226">
        <f t="shared" si="4"/>
        <v>0</v>
      </c>
      <c r="L44" s="209">
        <v>0</v>
      </c>
      <c r="M44" s="202">
        <f t="shared" si="5"/>
        <v>0</v>
      </c>
      <c r="O44" s="250" t="s">
        <v>718</v>
      </c>
    </row>
    <row r="45" spans="1:15" s="210" customFormat="1" ht="12.75">
      <c r="A45" s="131"/>
      <c r="B45" s="195"/>
      <c r="C45" s="204"/>
      <c r="D45" s="205"/>
      <c r="E45" s="197"/>
      <c r="F45" s="206"/>
      <c r="G45" s="199"/>
      <c r="H45" s="207"/>
      <c r="I45" s="201"/>
      <c r="J45" s="214"/>
      <c r="K45" s="202"/>
      <c r="L45" s="202"/>
      <c r="M45" s="202"/>
      <c r="O45" s="211"/>
    </row>
    <row r="46" spans="1:13" s="173" customFormat="1" ht="37.5" customHeight="1">
      <c r="A46" s="163" t="s">
        <v>560</v>
      </c>
      <c r="B46" s="164" t="s">
        <v>719</v>
      </c>
      <c r="C46" s="165" t="s">
        <v>562</v>
      </c>
      <c r="D46" s="166"/>
      <c r="E46" s="167"/>
      <c r="F46" s="168"/>
      <c r="G46" s="168"/>
      <c r="H46" s="169"/>
      <c r="I46" s="170"/>
      <c r="J46" s="171"/>
      <c r="K46" s="172"/>
      <c r="L46" s="172"/>
      <c r="M46" s="172"/>
    </row>
    <row r="47" spans="1:15" s="210" customFormat="1" ht="12.75">
      <c r="A47" s="131"/>
      <c r="B47" s="195"/>
      <c r="C47" s="204"/>
      <c r="D47" s="205"/>
      <c r="E47" s="197"/>
      <c r="F47" s="206"/>
      <c r="G47" s="199"/>
      <c r="H47" s="207"/>
      <c r="I47" s="201"/>
      <c r="J47" s="214"/>
      <c r="K47" s="202"/>
      <c r="L47" s="202"/>
      <c r="M47" s="202"/>
      <c r="O47" s="211"/>
    </row>
    <row r="48" spans="1:15" s="210" customFormat="1" ht="26.25">
      <c r="A48" s="131" t="s">
        <v>636</v>
      </c>
      <c r="B48" s="216" t="s">
        <v>637</v>
      </c>
      <c r="C48" s="217"/>
      <c r="D48" s="218" t="s">
        <v>638</v>
      </c>
      <c r="E48" s="219" t="s">
        <v>639</v>
      </c>
      <c r="F48" s="220" t="s">
        <v>640</v>
      </c>
      <c r="G48" s="220" t="s">
        <v>641</v>
      </c>
      <c r="H48" s="200" t="s">
        <v>642</v>
      </c>
      <c r="I48" s="221">
        <v>2</v>
      </c>
      <c r="J48" s="209">
        <v>0</v>
      </c>
      <c r="K48" s="222">
        <f>J48*I48</f>
        <v>0</v>
      </c>
      <c r="L48" s="209">
        <v>0</v>
      </c>
      <c r="M48" s="202">
        <f>L48*I48</f>
        <v>0</v>
      </c>
      <c r="N48" s="129"/>
      <c r="O48" s="203" t="s">
        <v>643</v>
      </c>
    </row>
    <row r="49" spans="1:15" s="210" customFormat="1" ht="12.75">
      <c r="A49" s="131"/>
      <c r="B49" s="195"/>
      <c r="C49" s="204"/>
      <c r="D49" s="205"/>
      <c r="E49" s="197"/>
      <c r="F49" s="206"/>
      <c r="G49" s="199"/>
      <c r="H49" s="207"/>
      <c r="I49" s="201"/>
      <c r="J49" s="214"/>
      <c r="K49" s="202"/>
      <c r="L49" s="202"/>
      <c r="M49" s="202"/>
      <c r="O49" s="211"/>
    </row>
    <row r="50" spans="1:15" s="210" customFormat="1" ht="12.75">
      <c r="A50" s="131" t="s">
        <v>720</v>
      </c>
      <c r="B50" s="195" t="s">
        <v>721</v>
      </c>
      <c r="C50" s="204"/>
      <c r="D50" s="205"/>
      <c r="E50" s="212" t="s">
        <v>722</v>
      </c>
      <c r="F50" s="206" t="s">
        <v>712</v>
      </c>
      <c r="G50" s="199" t="s">
        <v>713</v>
      </c>
      <c r="H50" s="207"/>
      <c r="I50" s="201">
        <v>4</v>
      </c>
      <c r="J50" s="208">
        <v>0</v>
      </c>
      <c r="K50" s="222">
        <f>J50*I50</f>
        <v>0</v>
      </c>
      <c r="L50" s="209">
        <v>0</v>
      </c>
      <c r="M50" s="202">
        <f>L50*I50</f>
        <v>0</v>
      </c>
      <c r="O50" s="211" t="s">
        <v>723</v>
      </c>
    </row>
    <row r="51" spans="1:15" s="210" customFormat="1" ht="12.75">
      <c r="A51" s="131"/>
      <c r="B51" s="195"/>
      <c r="C51" s="204"/>
      <c r="D51" s="205"/>
      <c r="E51" s="197"/>
      <c r="F51" s="206"/>
      <c r="G51" s="199"/>
      <c r="H51" s="207"/>
      <c r="I51" s="201"/>
      <c r="J51" s="214"/>
      <c r="K51" s="202"/>
      <c r="L51" s="202"/>
      <c r="M51" s="202"/>
      <c r="O51" s="211"/>
    </row>
    <row r="52" spans="1:15" s="210" customFormat="1" ht="12.75">
      <c r="A52" s="131"/>
      <c r="B52" s="195"/>
      <c r="C52" s="204"/>
      <c r="D52" s="205"/>
      <c r="E52" s="197"/>
      <c r="F52" s="206"/>
      <c r="G52" s="199"/>
      <c r="H52" s="207"/>
      <c r="I52" s="201"/>
      <c r="J52" s="214"/>
      <c r="K52" s="202"/>
      <c r="L52" s="202"/>
      <c r="M52" s="202"/>
      <c r="O52" s="211"/>
    </row>
    <row r="53" spans="1:13" s="237" customFormat="1" ht="12.75">
      <c r="A53" s="228" t="s">
        <v>724</v>
      </c>
      <c r="B53" s="229" t="s">
        <v>725</v>
      </c>
      <c r="C53" s="230"/>
      <c r="D53" s="231"/>
      <c r="E53" s="232"/>
      <c r="F53" s="233"/>
      <c r="G53" s="231"/>
      <c r="H53" s="234"/>
      <c r="I53" s="235"/>
      <c r="J53" s="236"/>
      <c r="K53" s="236"/>
      <c r="L53" s="236"/>
      <c r="M53" s="236"/>
    </row>
    <row r="54" spans="1:15" s="210" customFormat="1" ht="12.75">
      <c r="A54" s="131"/>
      <c r="B54" s="195" t="s">
        <v>726</v>
      </c>
      <c r="C54" s="204"/>
      <c r="D54" s="205"/>
      <c r="E54" s="197" t="s">
        <v>727</v>
      </c>
      <c r="F54" s="206" t="s">
        <v>682</v>
      </c>
      <c r="G54" s="199" t="s">
        <v>728</v>
      </c>
      <c r="H54" s="207"/>
      <c r="I54" s="201">
        <v>8</v>
      </c>
      <c r="J54" s="208">
        <v>0</v>
      </c>
      <c r="K54" s="222">
        <f>J54*I54</f>
        <v>0</v>
      </c>
      <c r="L54" s="209">
        <v>0</v>
      </c>
      <c r="M54" s="202">
        <f>L54*I54</f>
        <v>0</v>
      </c>
      <c r="O54" s="211" t="s">
        <v>729</v>
      </c>
    </row>
    <row r="55" spans="1:15" s="210" customFormat="1" ht="29.25" customHeight="1">
      <c r="A55" s="131"/>
      <c r="B55" s="195" t="s">
        <v>730</v>
      </c>
      <c r="C55" s="204"/>
      <c r="D55" s="205"/>
      <c r="E55" s="255">
        <v>15665000</v>
      </c>
      <c r="F55" s="206" t="s">
        <v>682</v>
      </c>
      <c r="G55" s="256" t="s">
        <v>731</v>
      </c>
      <c r="H55" s="207" t="s">
        <v>678</v>
      </c>
      <c r="I55" s="201">
        <v>3</v>
      </c>
      <c r="J55" s="208">
        <v>0</v>
      </c>
      <c r="K55" s="222">
        <f>J55*I55</f>
        <v>0</v>
      </c>
      <c r="L55" s="209">
        <v>0</v>
      </c>
      <c r="M55" s="202">
        <f>L55*I55</f>
        <v>0</v>
      </c>
      <c r="O55" s="211" t="s">
        <v>732</v>
      </c>
    </row>
    <row r="56" spans="1:15" s="210" customFormat="1" ht="25.5">
      <c r="A56" s="131"/>
      <c r="B56" s="195" t="s">
        <v>733</v>
      </c>
      <c r="C56" s="204" t="s">
        <v>734</v>
      </c>
      <c r="D56" s="205"/>
      <c r="E56" s="255">
        <v>15445000</v>
      </c>
      <c r="F56" s="206" t="s">
        <v>682</v>
      </c>
      <c r="G56" s="256" t="s">
        <v>731</v>
      </c>
      <c r="H56" s="207" t="s">
        <v>678</v>
      </c>
      <c r="I56" s="201">
        <v>1</v>
      </c>
      <c r="J56" s="208">
        <v>0</v>
      </c>
      <c r="K56" s="222">
        <f>J56*I56</f>
        <v>0</v>
      </c>
      <c r="L56" s="209">
        <v>0</v>
      </c>
      <c r="M56" s="202">
        <f>L56*I56</f>
        <v>0</v>
      </c>
      <c r="O56" s="211" t="s">
        <v>735</v>
      </c>
    </row>
    <row r="57" spans="1:15" s="210" customFormat="1" ht="15">
      <c r="A57" s="131"/>
      <c r="B57" s="195" t="s">
        <v>736</v>
      </c>
      <c r="C57" s="204"/>
      <c r="D57" s="205"/>
      <c r="E57" s="197" t="s">
        <v>737</v>
      </c>
      <c r="F57" s="206" t="s">
        <v>682</v>
      </c>
      <c r="G57" s="257" t="s">
        <v>738</v>
      </c>
      <c r="H57" s="207" t="s">
        <v>678</v>
      </c>
      <c r="I57" s="201">
        <v>4</v>
      </c>
      <c r="J57" s="208">
        <v>0</v>
      </c>
      <c r="K57" s="222">
        <f>J57*I57</f>
        <v>0</v>
      </c>
      <c r="L57" s="209">
        <v>0</v>
      </c>
      <c r="M57" s="202">
        <f>L57*I57</f>
        <v>0</v>
      </c>
      <c r="O57" s="211" t="s">
        <v>739</v>
      </c>
    </row>
    <row r="58" spans="1:15" s="210" customFormat="1" ht="12.75">
      <c r="A58" s="131"/>
      <c r="B58" s="195"/>
      <c r="C58" s="204"/>
      <c r="D58" s="205"/>
      <c r="E58" s="197"/>
      <c r="F58" s="206"/>
      <c r="G58" s="199"/>
      <c r="H58" s="207"/>
      <c r="I58" s="201"/>
      <c r="J58" s="214"/>
      <c r="K58" s="202"/>
      <c r="L58" s="202"/>
      <c r="M58" s="202"/>
      <c r="O58" s="211"/>
    </row>
    <row r="59" spans="1:13" s="237" customFormat="1" ht="12.75">
      <c r="A59" s="228" t="s">
        <v>740</v>
      </c>
      <c r="B59" s="229" t="s">
        <v>741</v>
      </c>
      <c r="C59" s="230"/>
      <c r="D59" s="231"/>
      <c r="E59" s="232"/>
      <c r="F59" s="233"/>
      <c r="G59" s="231"/>
      <c r="H59" s="234"/>
      <c r="I59" s="235"/>
      <c r="J59" s="236"/>
      <c r="K59" s="236"/>
      <c r="L59" s="236"/>
      <c r="M59" s="236"/>
    </row>
    <row r="60" spans="1:15" s="210" customFormat="1" ht="15">
      <c r="A60" s="131"/>
      <c r="B60" s="195" t="s">
        <v>742</v>
      </c>
      <c r="C60" s="204"/>
      <c r="D60" s="205"/>
      <c r="E60" s="197" t="s">
        <v>743</v>
      </c>
      <c r="F60" s="206" t="s">
        <v>682</v>
      </c>
      <c r="G60" s="257" t="s">
        <v>744</v>
      </c>
      <c r="H60" s="207" t="s">
        <v>678</v>
      </c>
      <c r="I60" s="201">
        <v>1</v>
      </c>
      <c r="J60" s="208">
        <v>0</v>
      </c>
      <c r="K60" s="222">
        <f>J60*I60</f>
        <v>0</v>
      </c>
      <c r="L60" s="209">
        <v>0</v>
      </c>
      <c r="M60" s="202">
        <f>L60*I60</f>
        <v>0</v>
      </c>
      <c r="O60" s="211" t="s">
        <v>745</v>
      </c>
    </row>
    <row r="61" spans="1:15" s="210" customFormat="1" ht="25.5">
      <c r="A61" s="131"/>
      <c r="B61" s="195" t="s">
        <v>746</v>
      </c>
      <c r="C61" s="204" t="s">
        <v>747</v>
      </c>
      <c r="D61" s="205"/>
      <c r="E61" s="197" t="s">
        <v>748</v>
      </c>
      <c r="F61" s="206" t="s">
        <v>682</v>
      </c>
      <c r="G61" s="199" t="s">
        <v>749</v>
      </c>
      <c r="H61" s="207" t="s">
        <v>678</v>
      </c>
      <c r="I61" s="201">
        <v>1</v>
      </c>
      <c r="J61" s="208">
        <v>0</v>
      </c>
      <c r="K61" s="222">
        <f>J61*I61</f>
        <v>0</v>
      </c>
      <c r="L61" s="209">
        <v>0</v>
      </c>
      <c r="M61" s="202">
        <f>L61*I61</f>
        <v>0</v>
      </c>
      <c r="O61" s="211" t="s">
        <v>750</v>
      </c>
    </row>
    <row r="62" spans="1:15" s="210" customFormat="1" ht="12.75">
      <c r="A62" s="131"/>
      <c r="B62" s="195"/>
      <c r="C62" s="204"/>
      <c r="D62" s="205"/>
      <c r="E62" s="197"/>
      <c r="F62" s="206"/>
      <c r="G62" s="199"/>
      <c r="H62" s="207"/>
      <c r="I62" s="201"/>
      <c r="J62" s="214"/>
      <c r="K62" s="202"/>
      <c r="L62" s="202"/>
      <c r="M62" s="202"/>
      <c r="O62" s="211"/>
    </row>
    <row r="63" spans="1:15" s="210" customFormat="1" ht="12.75">
      <c r="A63" s="131" t="s">
        <v>751</v>
      </c>
      <c r="B63" s="195" t="s">
        <v>752</v>
      </c>
      <c r="C63" s="204"/>
      <c r="D63" s="205"/>
      <c r="E63" s="197" t="s">
        <v>753</v>
      </c>
      <c r="F63" s="206" t="s">
        <v>754</v>
      </c>
      <c r="G63" s="199"/>
      <c r="H63" s="207" t="s">
        <v>678</v>
      </c>
      <c r="I63" s="201">
        <v>1</v>
      </c>
      <c r="J63" s="208">
        <v>0</v>
      </c>
      <c r="K63" s="222">
        <f>J63*I63</f>
        <v>0</v>
      </c>
      <c r="L63" s="209">
        <v>0</v>
      </c>
      <c r="M63" s="202">
        <f>L63*I63</f>
        <v>0</v>
      </c>
      <c r="O63" s="211" t="s">
        <v>755</v>
      </c>
    </row>
    <row r="64" spans="1:15" s="210" customFormat="1" ht="12.75">
      <c r="A64" s="131"/>
      <c r="B64" s="195" t="s">
        <v>756</v>
      </c>
      <c r="C64" s="204" t="s">
        <v>757</v>
      </c>
      <c r="D64" s="205"/>
      <c r="E64" s="197"/>
      <c r="F64" s="206"/>
      <c r="G64" s="199"/>
      <c r="H64" s="207" t="s">
        <v>642</v>
      </c>
      <c r="I64" s="201">
        <v>1</v>
      </c>
      <c r="J64" s="208">
        <v>0</v>
      </c>
      <c r="K64" s="222">
        <f>J64*I64</f>
        <v>0</v>
      </c>
      <c r="L64" s="209">
        <v>0</v>
      </c>
      <c r="M64" s="202">
        <f>L64*I64</f>
        <v>0</v>
      </c>
      <c r="O64" s="211"/>
    </row>
    <row r="65" spans="1:15" s="210" customFormat="1" ht="12.75">
      <c r="A65" s="131"/>
      <c r="B65" s="195"/>
      <c r="C65" s="204"/>
      <c r="D65" s="205"/>
      <c r="E65" s="197"/>
      <c r="F65" s="206"/>
      <c r="G65" s="199"/>
      <c r="H65" s="207"/>
      <c r="I65" s="201"/>
      <c r="J65" s="214"/>
      <c r="K65" s="202"/>
      <c r="L65" s="202"/>
      <c r="M65" s="202"/>
      <c r="O65" s="211"/>
    </row>
    <row r="66" spans="1:13" s="173" customFormat="1" ht="37.5" customHeight="1">
      <c r="A66" s="163" t="s">
        <v>560</v>
      </c>
      <c r="B66" s="164" t="s">
        <v>758</v>
      </c>
      <c r="C66" s="165" t="s">
        <v>759</v>
      </c>
      <c r="D66" s="166"/>
      <c r="E66" s="167"/>
      <c r="F66" s="168"/>
      <c r="G66" s="168"/>
      <c r="H66" s="169"/>
      <c r="I66" s="170"/>
      <c r="J66" s="171"/>
      <c r="K66" s="172"/>
      <c r="L66" s="172"/>
      <c r="M66" s="172"/>
    </row>
    <row r="67" spans="1:15" s="210" customFormat="1" ht="12.75">
      <c r="A67" s="131"/>
      <c r="B67" s="195"/>
      <c r="C67" s="204"/>
      <c r="D67" s="205"/>
      <c r="E67" s="197"/>
      <c r="F67" s="206"/>
      <c r="G67" s="199"/>
      <c r="H67" s="207"/>
      <c r="I67" s="201"/>
      <c r="J67" s="214"/>
      <c r="K67" s="202"/>
      <c r="L67" s="202"/>
      <c r="M67" s="202"/>
      <c r="O67" s="211"/>
    </row>
    <row r="68" spans="1:15" s="210" customFormat="1" ht="38.25">
      <c r="A68" s="131" t="s">
        <v>760</v>
      </c>
      <c r="B68" s="195" t="s">
        <v>761</v>
      </c>
      <c r="C68" s="204" t="s">
        <v>762</v>
      </c>
      <c r="D68" s="205"/>
      <c r="E68" s="197"/>
      <c r="F68" s="206"/>
      <c r="G68" s="199" t="s">
        <v>763</v>
      </c>
      <c r="H68" s="207"/>
      <c r="I68" s="201">
        <v>1</v>
      </c>
      <c r="J68" s="208">
        <v>0</v>
      </c>
      <c r="K68" s="222">
        <f>J68*I68</f>
        <v>0</v>
      </c>
      <c r="L68" s="209">
        <v>0</v>
      </c>
      <c r="M68" s="202">
        <f>L68*I68</f>
        <v>0</v>
      </c>
      <c r="O68" s="211"/>
    </row>
    <row r="69" spans="1:15" s="210" customFormat="1" ht="25.5">
      <c r="A69" s="131"/>
      <c r="B69" s="195" t="s">
        <v>764</v>
      </c>
      <c r="C69" s="204" t="s">
        <v>765</v>
      </c>
      <c r="D69" s="205"/>
      <c r="E69" s="197"/>
      <c r="F69" s="206"/>
      <c r="G69" s="199" t="s">
        <v>766</v>
      </c>
      <c r="H69" s="207"/>
      <c r="I69" s="201">
        <v>1</v>
      </c>
      <c r="J69" s="208">
        <v>0</v>
      </c>
      <c r="K69" s="222">
        <f>J69*I69</f>
        <v>0</v>
      </c>
      <c r="L69" s="209">
        <v>0</v>
      </c>
      <c r="M69" s="202">
        <f>L69*I69</f>
        <v>0</v>
      </c>
      <c r="O69" s="211"/>
    </row>
    <row r="70" spans="1:15" s="210" customFormat="1" ht="12.75">
      <c r="A70" s="131"/>
      <c r="B70" s="195"/>
      <c r="C70" s="204"/>
      <c r="D70" s="205"/>
      <c r="E70" s="197"/>
      <c r="F70" s="206"/>
      <c r="G70" s="199"/>
      <c r="H70" s="207"/>
      <c r="I70" s="201"/>
      <c r="J70" s="214"/>
      <c r="K70" s="202"/>
      <c r="L70" s="202"/>
      <c r="M70" s="202"/>
      <c r="O70" s="211"/>
    </row>
    <row r="71" spans="1:15" s="210" customFormat="1" ht="51">
      <c r="A71" s="131" t="s">
        <v>767</v>
      </c>
      <c r="B71" s="195" t="s">
        <v>768</v>
      </c>
      <c r="C71" s="204" t="s">
        <v>769</v>
      </c>
      <c r="D71" s="205"/>
      <c r="E71" s="197"/>
      <c r="F71" s="206"/>
      <c r="G71" s="199"/>
      <c r="H71" s="207"/>
      <c r="I71" s="201">
        <v>1</v>
      </c>
      <c r="J71" s="208">
        <v>0</v>
      </c>
      <c r="K71" s="222">
        <f>J71*I71</f>
        <v>0</v>
      </c>
      <c r="L71" s="209">
        <v>0</v>
      </c>
      <c r="M71" s="202">
        <f>L71*I71</f>
        <v>0</v>
      </c>
      <c r="O71" s="211"/>
    </row>
    <row r="72" spans="1:15" s="210" customFormat="1" ht="12.75">
      <c r="A72" s="131"/>
      <c r="B72" s="195"/>
      <c r="C72" s="204"/>
      <c r="D72" s="205"/>
      <c r="E72" s="197"/>
      <c r="F72" s="206"/>
      <c r="G72" s="199"/>
      <c r="H72" s="207"/>
      <c r="I72" s="201"/>
      <c r="J72" s="214"/>
      <c r="K72" s="202"/>
      <c r="L72" s="202"/>
      <c r="M72" s="202"/>
      <c r="O72" s="211"/>
    </row>
    <row r="73" spans="1:15" s="210" customFormat="1" ht="51">
      <c r="A73" s="131" t="s">
        <v>770</v>
      </c>
      <c r="B73" s="195" t="s">
        <v>771</v>
      </c>
      <c r="C73" s="204" t="s">
        <v>772</v>
      </c>
      <c r="D73" s="205"/>
      <c r="E73" s="197"/>
      <c r="F73" s="206" t="s">
        <v>671</v>
      </c>
      <c r="G73" s="199"/>
      <c r="H73" s="207"/>
      <c r="I73" s="201">
        <v>2</v>
      </c>
      <c r="J73" s="208">
        <v>0</v>
      </c>
      <c r="K73" s="222">
        <f>J73*I73</f>
        <v>0</v>
      </c>
      <c r="L73" s="209">
        <v>0</v>
      </c>
      <c r="M73" s="202">
        <f>L73*I73</f>
        <v>0</v>
      </c>
      <c r="O73" s="211"/>
    </row>
    <row r="74" spans="1:15" s="210" customFormat="1" ht="15">
      <c r="A74" s="131" t="s">
        <v>773</v>
      </c>
      <c r="B74" s="195" t="s">
        <v>619</v>
      </c>
      <c r="C74" s="204" t="s">
        <v>774</v>
      </c>
      <c r="D74" s="205" t="s">
        <v>621</v>
      </c>
      <c r="E74" s="197"/>
      <c r="F74" s="206" t="s">
        <v>622</v>
      </c>
      <c r="G74" s="215" t="s">
        <v>775</v>
      </c>
      <c r="H74" s="207" t="s">
        <v>624</v>
      </c>
      <c r="I74" s="201">
        <v>1</v>
      </c>
      <c r="J74" s="208">
        <v>0</v>
      </c>
      <c r="K74" s="202">
        <f>J74*I74</f>
        <v>0</v>
      </c>
      <c r="L74" s="209">
        <v>0</v>
      </c>
      <c r="M74" s="202">
        <f>L74*I74</f>
        <v>0</v>
      </c>
      <c r="O74" s="211"/>
    </row>
    <row r="75" spans="1:15" s="210" customFormat="1" ht="38.25">
      <c r="A75" s="131" t="s">
        <v>776</v>
      </c>
      <c r="B75" s="195" t="s">
        <v>777</v>
      </c>
      <c r="C75" s="204" t="s">
        <v>778</v>
      </c>
      <c r="D75" s="205"/>
      <c r="E75" s="197"/>
      <c r="F75" s="206" t="s">
        <v>779</v>
      </c>
      <c r="G75" s="199"/>
      <c r="H75" s="207"/>
      <c r="I75" s="201">
        <v>1</v>
      </c>
      <c r="J75" s="208">
        <v>0</v>
      </c>
      <c r="K75" s="222">
        <f>J75*I75</f>
        <v>0</v>
      </c>
      <c r="L75" s="209">
        <v>0</v>
      </c>
      <c r="M75" s="202">
        <f>L75*I75</f>
        <v>0</v>
      </c>
      <c r="O75" s="211"/>
    </row>
    <row r="76" spans="1:15" s="210" customFormat="1" ht="12.75">
      <c r="A76" s="131"/>
      <c r="B76" s="195"/>
      <c r="C76" s="204"/>
      <c r="D76" s="205"/>
      <c r="E76" s="197"/>
      <c r="F76" s="206"/>
      <c r="G76" s="199"/>
      <c r="H76" s="207"/>
      <c r="I76" s="201"/>
      <c r="J76" s="214"/>
      <c r="K76" s="202"/>
      <c r="L76" s="202"/>
      <c r="M76" s="202"/>
      <c r="O76" s="211"/>
    </row>
    <row r="77" spans="1:15" s="210" customFormat="1" ht="12.75">
      <c r="A77" s="131"/>
      <c r="B77" s="195"/>
      <c r="C77" s="204"/>
      <c r="D77" s="205"/>
      <c r="E77" s="197"/>
      <c r="F77" s="206"/>
      <c r="G77" s="199"/>
      <c r="H77" s="207"/>
      <c r="I77" s="201"/>
      <c r="J77" s="214"/>
      <c r="K77" s="202"/>
      <c r="L77" s="202"/>
      <c r="M77" s="202"/>
      <c r="O77" s="211"/>
    </row>
    <row r="78" spans="1:15" s="210" customFormat="1" ht="12.75">
      <c r="A78" s="131"/>
      <c r="B78" s="195"/>
      <c r="C78" s="204"/>
      <c r="D78" s="205"/>
      <c r="E78" s="197"/>
      <c r="F78" s="206"/>
      <c r="G78" s="199"/>
      <c r="H78" s="207"/>
      <c r="I78" s="201"/>
      <c r="J78" s="214"/>
      <c r="K78" s="202"/>
      <c r="L78" s="202"/>
      <c r="M78" s="202"/>
      <c r="O78" s="211"/>
    </row>
    <row r="79" spans="1:13" s="173" customFormat="1" ht="37.5" customHeight="1">
      <c r="A79" s="163" t="s">
        <v>560</v>
      </c>
      <c r="B79" s="164" t="s">
        <v>780</v>
      </c>
      <c r="C79" s="165" t="s">
        <v>781</v>
      </c>
      <c r="D79" s="166"/>
      <c r="E79" s="167"/>
      <c r="F79" s="168"/>
      <c r="G79" s="168"/>
      <c r="H79" s="169"/>
      <c r="I79" s="170"/>
      <c r="J79" s="171"/>
      <c r="K79" s="172"/>
      <c r="L79" s="172"/>
      <c r="M79" s="172"/>
    </row>
    <row r="80" spans="1:13" s="173" customFormat="1" ht="37.5" customHeight="1">
      <c r="A80" s="163" t="s">
        <v>560</v>
      </c>
      <c r="B80" s="164" t="s">
        <v>782</v>
      </c>
      <c r="C80" s="165" t="s">
        <v>783</v>
      </c>
      <c r="D80" s="166"/>
      <c r="E80" s="167"/>
      <c r="F80" s="168"/>
      <c r="G80" s="168"/>
      <c r="H80" s="169"/>
      <c r="I80" s="170"/>
      <c r="J80" s="171"/>
      <c r="K80" s="172"/>
      <c r="L80" s="172"/>
      <c r="M80" s="172"/>
    </row>
    <row r="81" spans="1:15" s="210" customFormat="1" ht="12.75">
      <c r="A81" s="131"/>
      <c r="B81" s="195"/>
      <c r="C81" s="204"/>
      <c r="D81" s="205"/>
      <c r="E81" s="197"/>
      <c r="F81" s="206"/>
      <c r="G81" s="199"/>
      <c r="H81" s="207"/>
      <c r="I81" s="201"/>
      <c r="J81" s="214"/>
      <c r="K81" s="202"/>
      <c r="L81" s="202"/>
      <c r="M81" s="202"/>
      <c r="O81" s="211"/>
    </row>
    <row r="82" spans="1:15" s="210" customFormat="1" ht="39">
      <c r="A82" s="131" t="s">
        <v>784</v>
      </c>
      <c r="B82" s="258" t="s">
        <v>654</v>
      </c>
      <c r="C82" s="204" t="s">
        <v>785</v>
      </c>
      <c r="D82" s="205" t="s">
        <v>786</v>
      </c>
      <c r="E82" s="197"/>
      <c r="F82" s="206"/>
      <c r="G82" s="199"/>
      <c r="H82" s="207"/>
      <c r="I82" s="201">
        <v>3</v>
      </c>
      <c r="J82" s="208">
        <v>0</v>
      </c>
      <c r="K82" s="202">
        <f>J82*I82</f>
        <v>0</v>
      </c>
      <c r="L82" s="209">
        <v>0</v>
      </c>
      <c r="M82" s="202">
        <f>L82*I82</f>
        <v>0</v>
      </c>
      <c r="O82" s="211"/>
    </row>
    <row r="83" spans="1:15" s="210" customFormat="1" ht="51">
      <c r="A83" s="131" t="s">
        <v>787</v>
      </c>
      <c r="B83" s="195" t="s">
        <v>788</v>
      </c>
      <c r="C83" s="204" t="s">
        <v>789</v>
      </c>
      <c r="D83" s="205"/>
      <c r="E83" s="197"/>
      <c r="F83" s="206" t="s">
        <v>671</v>
      </c>
      <c r="G83" s="199"/>
      <c r="H83" s="207"/>
      <c r="I83" s="201">
        <v>1</v>
      </c>
      <c r="J83" s="208">
        <v>0</v>
      </c>
      <c r="K83" s="222">
        <f>J83*I83</f>
        <v>0</v>
      </c>
      <c r="L83" s="209">
        <v>0</v>
      </c>
      <c r="M83" s="202">
        <f>L83*I83</f>
        <v>0</v>
      </c>
      <c r="O83" s="211"/>
    </row>
    <row r="84" spans="1:15" s="210" customFormat="1" ht="51">
      <c r="A84" s="131" t="s">
        <v>790</v>
      </c>
      <c r="B84" s="195" t="s">
        <v>788</v>
      </c>
      <c r="C84" s="204" t="s">
        <v>791</v>
      </c>
      <c r="D84" s="205"/>
      <c r="E84" s="197"/>
      <c r="F84" s="206" t="s">
        <v>671</v>
      </c>
      <c r="G84" s="199"/>
      <c r="H84" s="207"/>
      <c r="I84" s="201">
        <v>1</v>
      </c>
      <c r="J84" s="208">
        <v>0</v>
      </c>
      <c r="K84" s="222">
        <f>J84*I84</f>
        <v>0</v>
      </c>
      <c r="L84" s="209">
        <v>0</v>
      </c>
      <c r="M84" s="202">
        <f>L84*I84</f>
        <v>0</v>
      </c>
      <c r="O84" s="211"/>
    </row>
    <row r="85" spans="1:15" s="210" customFormat="1" ht="51">
      <c r="A85" s="131" t="s">
        <v>792</v>
      </c>
      <c r="B85" s="195" t="s">
        <v>793</v>
      </c>
      <c r="C85" s="204" t="s">
        <v>794</v>
      </c>
      <c r="D85" s="205"/>
      <c r="E85" s="197"/>
      <c r="F85" s="206"/>
      <c r="G85" s="199"/>
      <c r="H85" s="207"/>
      <c r="I85" s="201">
        <v>1</v>
      </c>
      <c r="J85" s="208">
        <v>0</v>
      </c>
      <c r="K85" s="222">
        <f>J85*I85</f>
        <v>0</v>
      </c>
      <c r="L85" s="209">
        <v>0</v>
      </c>
      <c r="M85" s="202">
        <f>L85*I85</f>
        <v>0</v>
      </c>
      <c r="O85" s="211"/>
    </row>
    <row r="86" spans="1:15" s="210" customFormat="1" ht="30.75">
      <c r="A86" s="131" t="s">
        <v>795</v>
      </c>
      <c r="B86" s="195" t="s">
        <v>796</v>
      </c>
      <c r="C86" s="257" t="s">
        <v>797</v>
      </c>
      <c r="D86" s="205"/>
      <c r="E86" s="197"/>
      <c r="F86" s="259" t="s">
        <v>798</v>
      </c>
      <c r="G86" s="260" t="s">
        <v>799</v>
      </c>
      <c r="H86" s="207"/>
      <c r="I86" s="201">
        <v>2</v>
      </c>
      <c r="J86" s="208">
        <v>0</v>
      </c>
      <c r="K86" s="222">
        <f>J86*I86</f>
        <v>0</v>
      </c>
      <c r="L86" s="209">
        <v>0</v>
      </c>
      <c r="M86" s="202">
        <f>L86*I86</f>
        <v>0</v>
      </c>
      <c r="O86" s="211"/>
    </row>
    <row r="87" spans="1:15" s="210" customFormat="1" ht="12.75">
      <c r="A87" s="131"/>
      <c r="B87" s="195"/>
      <c r="C87" s="204"/>
      <c r="D87" s="205"/>
      <c r="E87" s="197"/>
      <c r="F87" s="206"/>
      <c r="G87" s="199"/>
      <c r="H87" s="207"/>
      <c r="I87" s="201"/>
      <c r="J87" s="214"/>
      <c r="K87" s="202"/>
      <c r="L87" s="202"/>
      <c r="M87" s="202"/>
      <c r="O87" s="211"/>
    </row>
    <row r="88" spans="1:13" s="173" customFormat="1" ht="37.5" customHeight="1">
      <c r="A88" s="163" t="s">
        <v>560</v>
      </c>
      <c r="B88" s="164" t="s">
        <v>800</v>
      </c>
      <c r="C88" s="165" t="s">
        <v>801</v>
      </c>
      <c r="D88" s="166"/>
      <c r="E88" s="167"/>
      <c r="F88" s="168"/>
      <c r="G88" s="168"/>
      <c r="H88" s="169"/>
      <c r="I88" s="170"/>
      <c r="J88" s="171"/>
      <c r="K88" s="172"/>
      <c r="L88" s="172"/>
      <c r="M88" s="172"/>
    </row>
    <row r="89" spans="1:15" s="210" customFormat="1" ht="12.75">
      <c r="A89" s="131"/>
      <c r="B89" s="195"/>
      <c r="C89" s="204"/>
      <c r="D89" s="205"/>
      <c r="E89" s="197"/>
      <c r="F89" s="206"/>
      <c r="G89" s="199"/>
      <c r="H89" s="207"/>
      <c r="I89" s="201"/>
      <c r="J89" s="214"/>
      <c r="K89" s="202"/>
      <c r="L89" s="202"/>
      <c r="M89" s="202"/>
      <c r="O89" s="211"/>
    </row>
    <row r="90" spans="1:15" s="210" customFormat="1" ht="12.75">
      <c r="A90" s="131" t="s">
        <v>802</v>
      </c>
      <c r="B90" s="195" t="s">
        <v>803</v>
      </c>
      <c r="C90" s="199" t="s">
        <v>632</v>
      </c>
      <c r="D90" s="205"/>
      <c r="E90" s="197"/>
      <c r="F90" s="206"/>
      <c r="G90" s="199"/>
      <c r="H90" s="207"/>
      <c r="I90" s="201">
        <v>1</v>
      </c>
      <c r="J90" s="214">
        <v>0</v>
      </c>
      <c r="K90" s="222">
        <f>J90*I90</f>
        <v>0</v>
      </c>
      <c r="L90" s="202">
        <v>0</v>
      </c>
      <c r="M90" s="202">
        <f>L90*I90</f>
        <v>0</v>
      </c>
      <c r="O90" s="211"/>
    </row>
    <row r="91" spans="1:15" s="210" customFormat="1" ht="25.5">
      <c r="A91" s="131" t="s">
        <v>804</v>
      </c>
      <c r="B91" s="195" t="s">
        <v>805</v>
      </c>
      <c r="C91" s="204" t="s">
        <v>806</v>
      </c>
      <c r="D91" s="205"/>
      <c r="E91" s="197"/>
      <c r="F91" s="206"/>
      <c r="G91" s="199"/>
      <c r="H91" s="207"/>
      <c r="I91" s="201">
        <v>1</v>
      </c>
      <c r="J91" s="208">
        <v>0</v>
      </c>
      <c r="K91" s="222">
        <f>J91*I91</f>
        <v>0</v>
      </c>
      <c r="L91" s="209">
        <v>0</v>
      </c>
      <c r="M91" s="202">
        <f>L91*I91</f>
        <v>0</v>
      </c>
      <c r="O91" s="211"/>
    </row>
    <row r="92" spans="1:15" s="210" customFormat="1" ht="12.75">
      <c r="A92" s="131"/>
      <c r="B92" s="195"/>
      <c r="C92" s="204"/>
      <c r="D92" s="205"/>
      <c r="E92" s="197"/>
      <c r="F92" s="206"/>
      <c r="G92" s="199"/>
      <c r="H92" s="207"/>
      <c r="I92" s="201"/>
      <c r="J92" s="214"/>
      <c r="K92" s="202"/>
      <c r="L92" s="202"/>
      <c r="M92" s="202"/>
      <c r="O92" s="211"/>
    </row>
    <row r="93" spans="1:15" s="210" customFormat="1" ht="25.5">
      <c r="A93" s="131" t="s">
        <v>807</v>
      </c>
      <c r="B93" s="195" t="s">
        <v>808</v>
      </c>
      <c r="C93" s="204"/>
      <c r="D93" s="205" t="s">
        <v>809</v>
      </c>
      <c r="E93" s="197"/>
      <c r="F93" s="206" t="s">
        <v>671</v>
      </c>
      <c r="G93" s="199"/>
      <c r="H93" s="207"/>
      <c r="I93" s="201">
        <v>1</v>
      </c>
      <c r="J93" s="208">
        <v>0</v>
      </c>
      <c r="K93" s="222">
        <f>J93*I93</f>
        <v>0</v>
      </c>
      <c r="L93" s="209">
        <v>0</v>
      </c>
      <c r="M93" s="202">
        <f>L93*I93</f>
        <v>0</v>
      </c>
      <c r="O93" s="211"/>
    </row>
    <row r="94" spans="1:15" s="210" customFormat="1" ht="25.5">
      <c r="A94" s="131" t="s">
        <v>810</v>
      </c>
      <c r="B94" s="195" t="s">
        <v>811</v>
      </c>
      <c r="C94" s="204"/>
      <c r="D94" s="205" t="s">
        <v>809</v>
      </c>
      <c r="E94" s="197"/>
      <c r="F94" s="206" t="s">
        <v>671</v>
      </c>
      <c r="G94" s="199"/>
      <c r="H94" s="207"/>
      <c r="I94" s="201">
        <v>1</v>
      </c>
      <c r="J94" s="208">
        <v>0</v>
      </c>
      <c r="K94" s="222">
        <f>J94*I94</f>
        <v>0</v>
      </c>
      <c r="L94" s="209">
        <v>0</v>
      </c>
      <c r="M94" s="202">
        <f>L94*I94</f>
        <v>0</v>
      </c>
      <c r="O94" s="211"/>
    </row>
    <row r="95" spans="1:15" s="210" customFormat="1" ht="25.5">
      <c r="A95" s="131" t="s">
        <v>812</v>
      </c>
      <c r="B95" s="195" t="s">
        <v>813</v>
      </c>
      <c r="C95" s="204"/>
      <c r="D95" s="205" t="s">
        <v>809</v>
      </c>
      <c r="E95" s="197"/>
      <c r="F95" s="206" t="s">
        <v>671</v>
      </c>
      <c r="G95" s="199"/>
      <c r="H95" s="207"/>
      <c r="I95" s="201">
        <v>1</v>
      </c>
      <c r="J95" s="208">
        <v>0</v>
      </c>
      <c r="K95" s="222">
        <f>J95*I95</f>
        <v>0</v>
      </c>
      <c r="L95" s="209">
        <v>0</v>
      </c>
      <c r="M95" s="202">
        <f>L95*I95</f>
        <v>0</v>
      </c>
      <c r="O95" s="211"/>
    </row>
    <row r="97" spans="1:13" s="281" customFormat="1" ht="15.75">
      <c r="A97" s="270"/>
      <c r="B97" s="271"/>
      <c r="C97" s="272"/>
      <c r="D97" s="273"/>
      <c r="E97" s="274"/>
      <c r="F97" s="275"/>
      <c r="G97" s="275"/>
      <c r="H97" s="276" t="s">
        <v>814</v>
      </c>
      <c r="I97" s="277"/>
      <c r="J97" s="278"/>
      <c r="K97" s="279">
        <f>SUM(K9:K95)</f>
        <v>0</v>
      </c>
      <c r="L97" s="280"/>
      <c r="M97" s="279">
        <f>SUM(M9:M95)</f>
        <v>0</v>
      </c>
    </row>
  </sheetData>
  <sheetProtection/>
  <mergeCells count="1">
    <mergeCell ref="B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Stašek</dc:creator>
  <cp:keywords/>
  <dc:description/>
  <cp:lastModifiedBy>Kadlčík Stanislav</cp:lastModifiedBy>
  <cp:lastPrinted>2018-07-13T07:42:35Z</cp:lastPrinted>
  <dcterms:created xsi:type="dcterms:W3CDTF">2018-07-13T07:43:13Z</dcterms:created>
  <dcterms:modified xsi:type="dcterms:W3CDTF">2018-07-16T13:03:35Z</dcterms:modified>
  <cp:category/>
  <cp:version/>
  <cp:contentType/>
  <cp:contentStatus/>
</cp:coreProperties>
</file>