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<sst xmlns="http://schemas.openxmlformats.org/spreadsheetml/2006/main" count="294" uniqueCount="169">
  <si>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</si>
  <si>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</si>
  <si>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</si>
  <si>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</si>
  <si>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</si>
  <si>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</si>
  <si>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</si>
  <si>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</si>
  <si>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</si>
  <si>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</si>
  <si>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</si>
  <si>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</si>
  <si>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</si>
  <si>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</si>
  <si>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</si>
  <si>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</si>
  <si>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</si>
  <si>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</si>
  <si>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</si>
  <si>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</si>
  <si>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</si>
  <si>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</si>
  <si>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</si>
  <si>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</si>
  <si>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</si>
  <si>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</si>
  <si>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27</t>
  </si>
  <si>
    <t>33</t>
  </si>
  <si>
    <t>Objekt</t>
  </si>
  <si>
    <t>01</t>
  </si>
  <si>
    <t>Kód</t>
  </si>
  <si>
    <t>133201101R00</t>
  </si>
  <si>
    <t>133201109R00</t>
  </si>
  <si>
    <t>162701105R00</t>
  </si>
  <si>
    <t>167101102R00</t>
  </si>
  <si>
    <t>171201201RT1</t>
  </si>
  <si>
    <t>271571111R00</t>
  </si>
  <si>
    <t>275313511R00</t>
  </si>
  <si>
    <t>338171112R00</t>
  </si>
  <si>
    <t>767</t>
  </si>
  <si>
    <t>767911130R00</t>
  </si>
  <si>
    <t>767920240R00</t>
  </si>
  <si>
    <t>55342370</t>
  </si>
  <si>
    <t>55342408</t>
  </si>
  <si>
    <t>76702VD</t>
  </si>
  <si>
    <t>H22</t>
  </si>
  <si>
    <t>998151111R00</t>
  </si>
  <si>
    <t>Sportovní areál Třeboň</t>
  </si>
  <si>
    <t>Třeboň</t>
  </si>
  <si>
    <t>Zkrácený popis</t>
  </si>
  <si>
    <t>OPLOCENÍ</t>
  </si>
  <si>
    <t>Zemní práce</t>
  </si>
  <si>
    <t>Vodorovné přemístění výkopku z hor.1-4 do 10000 m</t>
  </si>
  <si>
    <t>Nakládání výkopku z hor.1-4 v množství nad 100 m3</t>
  </si>
  <si>
    <t>Uložení sypaniny na skládku včetně poplatku za skládku</t>
  </si>
  <si>
    <t>Základy</t>
  </si>
  <si>
    <t>Polštář základu ze štěrkopísku tříděného</t>
  </si>
  <si>
    <t>Beton základových patek prostý C 12/15 (B 12,5)</t>
  </si>
  <si>
    <t>Sloupy a pilíře, stožáry a rámové stojky</t>
  </si>
  <si>
    <t>Osazení sloupků plot.ocelových do 3,0 m,zabet.</t>
  </si>
  <si>
    <t>Konstrukce doplňkové stavební (zámečnické)</t>
  </si>
  <si>
    <t>Montáž oplocení strojového pletiva H do 2,0 m</t>
  </si>
  <si>
    <t>Montáž vrat na ocelové sloupky, plochy do 8 m2</t>
  </si>
  <si>
    <t>Komunikace pozemní a letiště</t>
  </si>
  <si>
    <t>Přesun hmot, oplocení a zvláštní obj. zděné do 10m</t>
  </si>
  <si>
    <t>Doba výstavby:</t>
  </si>
  <si>
    <t>Začátek výstavby:</t>
  </si>
  <si>
    <t>Konec výstavby:</t>
  </si>
  <si>
    <t>Zpracováno dne:</t>
  </si>
  <si>
    <t>M.j.</t>
  </si>
  <si>
    <t>m</t>
  </si>
  <si>
    <t>m3</t>
  </si>
  <si>
    <t>t</t>
  </si>
  <si>
    <t>kus</t>
  </si>
  <si>
    <t>ks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</si>
  <si>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</si>
  <si>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</si>
  <si>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</si>
  <si>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</si>
  <si>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</si>
  <si>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</si>
  <si>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</si>
  <si>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</si>
  <si>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</si>
  <si>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</si>
  <si>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</si>
  <si>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</si>
  <si>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Třeboň</t>
  </si>
  <si>
    <t>JK-Stavprojekt</t>
  </si>
  <si>
    <t>určen výběrovým řízením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</si>
  <si>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</si>
  <si>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</si>
  <si>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</si>
  <si>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</si>
  <si>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</si>
  <si>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</si>
  <si>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</si>
  <si>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</si>
  <si>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</si>
  <si>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</si>
  <si>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</si>
  <si>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</si>
  <si>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</si>
  <si>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</si>
  <si>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</si>
  <si>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</si>
  <si>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</si>
  <si>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</si>
  <si>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</si>
  <si>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</si>
  <si>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</si>
  <si>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</si>
  <si>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</si>
  <si>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</si>
  <si>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</si>
  <si>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</si>
  <si>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</si>
  <si>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</si>
  <si>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</si>
  <si>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</si>
  <si>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</si>
  <si>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14%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</si>
  <si>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</si>
  <si>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</si>
  <si>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</si>
  <si>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</si>
  <si>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</si>
  <si>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</si>
  <si>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</si>
  <si>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</si>
  <si>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</si>
  <si>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</si>
  <si>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14%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</si>
  <si>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</si>
  <si>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</si>
  <si>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</si>
  <si>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</si>
  <si>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</si>
  <si>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</si>
  <si>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</si>
  <si>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</si>
  <si>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</si>
  <si>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</si>
  <si>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</si>
  <si>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</si>
  <si>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</si>
  <si>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</si>
  <si>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</si>
  <si>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</si>
  <si>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</si>
  <si>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</si>
  <si>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76703VD</t>
  </si>
  <si>
    <t>76701VD</t>
  </si>
  <si>
    <t xml:space="preserve">Oplocení </t>
  </si>
  <si>
    <t>Oplocení</t>
  </si>
  <si>
    <t>Hloubení šachet a rýh v hor.3 do 100 m3</t>
  </si>
  <si>
    <t>Příplatek za lepivost - hloubení šachet a rýh v hor.3</t>
  </si>
  <si>
    <t>Sloupek plotový  ZN 2800 mm+4 obj</t>
  </si>
  <si>
    <t>Plotový panel   ZN   výška 1800 mm</t>
  </si>
  <si>
    <t>Vrata plotová dvoukřídlová 4000*1900mm včetně sloupků , výpň jako plot</t>
  </si>
  <si>
    <t>767995102R00</t>
  </si>
  <si>
    <t>Montáž kovových konstrukcí do 10 kg - U profily pro kotvení podhrabových desek, včetně kotvení ke sloupkům , včetně základního nátěru</t>
  </si>
  <si>
    <t>kg</t>
  </si>
  <si>
    <t>Profil U100 dl. 0,5 m , 104 ks</t>
  </si>
  <si>
    <t xml:space="preserve">Závitová tyč prům.12 mm včetně matek </t>
  </si>
  <si>
    <t>348121122R00</t>
  </si>
  <si>
    <t xml:space="preserve">Osazování plotových desek </t>
  </si>
  <si>
    <t>59233174</t>
  </si>
  <si>
    <t>Podhrabová deska 2450/400/60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</si>
</sst>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171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8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  <xf numFmtId="4" fontId="7" fillId="33" borderId="33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49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49" fontId="7" fillId="33" borderId="48" xfId="0" applyNumberFormat="1" applyFont="1" applyFill="1" applyBorder="1" applyAlignment="1" applyProtection="1">
      <alignment horizontal="left" vertical="center"/>
      <protection/>
    </xf>
    <xf numFmtId="0" fontId="7" fillId="33" borderId="30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33" xfId="0" applyNumberFormat="1" applyFont="1" applyFill="1" applyBorder="1" applyAlignment="1" applyProtection="1">
      <alignment horizontal="left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tabSelected="1" zoomScalePageLayoutView="0" workbookViewId="0" topLeftCell="A11">
      <selection activeCell="D34" sqref="D34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8.0039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2.75">
      <c r="A2" s="78" t="s">
        <v>1</v>
      </c>
      <c r="B2" s="65"/>
      <c r="C2" s="65"/>
      <c r="D2" s="60" t="s">
        <v>47</v>
      </c>
      <c r="E2" s="64" t="s">
        <v>65</v>
      </c>
      <c r="F2" s="65"/>
      <c r="G2" s="64"/>
      <c r="H2" s="65"/>
      <c r="I2" s="64" t="s">
        <v>82</v>
      </c>
      <c r="J2" s="64" t="s">
        <v>87</v>
      </c>
      <c r="K2" s="65"/>
      <c r="L2" s="70"/>
      <c r="M2" s="20"/>
    </row>
    <row r="3" spans="1:13" ht="12.75">
      <c r="A3" s="79"/>
      <c r="B3" s="66"/>
      <c r="C3" s="66"/>
      <c r="D3" s="75"/>
      <c r="E3" s="66"/>
      <c r="F3" s="66"/>
      <c r="G3" s="66"/>
      <c r="H3" s="66"/>
      <c r="I3" s="66"/>
      <c r="J3" s="66"/>
      <c r="K3" s="66"/>
      <c r="L3" s="71"/>
      <c r="M3" s="20"/>
    </row>
    <row r="4" spans="1:13" ht="12.75">
      <c r="A4" s="73" t="s">
        <v>2</v>
      </c>
      <c r="B4" s="66"/>
      <c r="C4" s="66"/>
      <c r="D4" s="69" t="s">
        <v>153</v>
      </c>
      <c r="E4" s="69" t="s">
        <v>66</v>
      </c>
      <c r="F4" s="66"/>
      <c r="G4" s="67"/>
      <c r="H4" s="66"/>
      <c r="I4" s="69" t="s">
        <v>83</v>
      </c>
      <c r="J4" s="69" t="s">
        <v>88</v>
      </c>
      <c r="K4" s="66"/>
      <c r="L4" s="71"/>
      <c r="M4" s="20"/>
    </row>
    <row r="5" spans="1:13" ht="12.75">
      <c r="A5" s="79"/>
      <c r="B5" s="66"/>
      <c r="C5" s="66"/>
      <c r="D5" s="66"/>
      <c r="E5" s="66"/>
      <c r="F5" s="66"/>
      <c r="G5" s="66"/>
      <c r="H5" s="66"/>
      <c r="I5" s="66"/>
      <c r="J5" s="66"/>
      <c r="K5" s="66"/>
      <c r="L5" s="71"/>
      <c r="M5" s="20"/>
    </row>
    <row r="6" spans="1:13" ht="12.75">
      <c r="A6" s="73" t="s">
        <v>3</v>
      </c>
      <c r="B6" s="66"/>
      <c r="C6" s="66"/>
      <c r="D6" s="69" t="s">
        <v>48</v>
      </c>
      <c r="E6" s="69" t="s">
        <v>67</v>
      </c>
      <c r="F6" s="66"/>
      <c r="G6" s="66"/>
      <c r="H6" s="66"/>
      <c r="I6" s="69" t="s">
        <v>84</v>
      </c>
      <c r="J6" s="69" t="s">
        <v>89</v>
      </c>
      <c r="K6" s="66"/>
      <c r="L6" s="71"/>
      <c r="M6" s="20"/>
    </row>
    <row r="7" spans="1:13" ht="12.75">
      <c r="A7" s="79"/>
      <c r="B7" s="66"/>
      <c r="C7" s="66"/>
      <c r="D7" s="66"/>
      <c r="E7" s="66"/>
      <c r="F7" s="66"/>
      <c r="G7" s="66"/>
      <c r="H7" s="66"/>
      <c r="I7" s="66"/>
      <c r="J7" s="66"/>
      <c r="K7" s="66"/>
      <c r="L7" s="71"/>
      <c r="M7" s="20"/>
    </row>
    <row r="8" spans="1:13" ht="12.75">
      <c r="A8" s="73" t="s">
        <v>4</v>
      </c>
      <c r="B8" s="66"/>
      <c r="C8" s="66"/>
      <c r="D8" s="69"/>
      <c r="E8" s="69" t="s">
        <v>68</v>
      </c>
      <c r="F8" s="66"/>
      <c r="G8" s="67">
        <v>41539</v>
      </c>
      <c r="H8" s="66"/>
      <c r="I8" s="69" t="s">
        <v>85</v>
      </c>
      <c r="J8" s="69"/>
      <c r="K8" s="66"/>
      <c r="L8" s="71"/>
      <c r="M8" s="20"/>
    </row>
    <row r="9" spans="1:13" ht="12.75">
      <c r="A9" s="74"/>
      <c r="B9" s="68"/>
      <c r="C9" s="68"/>
      <c r="D9" s="68"/>
      <c r="E9" s="68"/>
      <c r="F9" s="68"/>
      <c r="G9" s="68"/>
      <c r="H9" s="68"/>
      <c r="I9" s="68"/>
      <c r="J9" s="68"/>
      <c r="K9" s="68"/>
      <c r="L9" s="72"/>
      <c r="M9" s="20"/>
    </row>
    <row r="10" spans="1:13" ht="12.75">
      <c r="A10" s="1" t="s">
        <v>5</v>
      </c>
      <c r="B10" s="7" t="s">
        <v>5</v>
      </c>
      <c r="C10" s="7" t="s">
        <v>5</v>
      </c>
      <c r="D10" s="7" t="s">
        <v>5</v>
      </c>
      <c r="E10" s="7" t="s">
        <v>5</v>
      </c>
      <c r="F10" s="7" t="s">
        <v>5</v>
      </c>
      <c r="G10" s="13" t="s">
        <v>77</v>
      </c>
      <c r="H10" s="53" t="s">
        <v>79</v>
      </c>
      <c r="I10" s="54"/>
      <c r="J10" s="55"/>
      <c r="K10" s="53" t="s">
        <v>91</v>
      </c>
      <c r="L10" s="55"/>
      <c r="M10" s="21"/>
    </row>
    <row r="11" spans="1:24" ht="12.75">
      <c r="A11" s="2" t="s">
        <v>6</v>
      </c>
      <c r="B11" s="8" t="s">
        <v>28</v>
      </c>
      <c r="C11" s="8" t="s">
        <v>30</v>
      </c>
      <c r="D11" s="8" t="s">
        <v>49</v>
      </c>
      <c r="E11" s="8" t="s">
        <v>69</v>
      </c>
      <c r="F11" s="11" t="s">
        <v>76</v>
      </c>
      <c r="G11" s="14" t="s">
        <v>78</v>
      </c>
      <c r="H11" s="15" t="s">
        <v>80</v>
      </c>
      <c r="I11" s="16" t="s">
        <v>86</v>
      </c>
      <c r="J11" s="17" t="s">
        <v>90</v>
      </c>
      <c r="K11" s="15" t="s">
        <v>77</v>
      </c>
      <c r="L11" s="17" t="s">
        <v>90</v>
      </c>
      <c r="M11" s="21"/>
      <c r="P11" s="19" t="s">
        <v>93</v>
      </c>
      <c r="Q11" s="19" t="s">
        <v>94</v>
      </c>
      <c r="R11" s="19" t="s">
        <v>98</v>
      </c>
      <c r="S11" s="19" t="s">
        <v>99</v>
      </c>
      <c r="T11" s="19" t="s">
        <v>100</v>
      </c>
      <c r="U11" s="19" t="s">
        <v>101</v>
      </c>
      <c r="V11" s="19" t="s">
        <v>102</v>
      </c>
      <c r="W11" s="19" t="s">
        <v>103</v>
      </c>
      <c r="X11" s="19" t="s">
        <v>104</v>
      </c>
    </row>
    <row r="12" spans="1:12" ht="15.75">
      <c r="A12" s="3"/>
      <c r="B12" s="3"/>
      <c r="C12" s="9"/>
      <c r="D12" s="56" t="s">
        <v>50</v>
      </c>
      <c r="E12" s="57"/>
      <c r="F12" s="57"/>
      <c r="G12" s="57"/>
      <c r="H12" s="51">
        <f>H13+H19+H22+H24+H35</f>
        <v>0</v>
      </c>
      <c r="I12" s="51">
        <f>I13+I19+I22+I24+I35</f>
        <v>0</v>
      </c>
      <c r="J12" s="51">
        <f>H12+I12</f>
        <v>0</v>
      </c>
      <c r="K12" s="18"/>
      <c r="L12" s="23">
        <f>L13+L19+L22+L24+L35</f>
        <v>12.545031400000001</v>
      </c>
    </row>
    <row r="13" spans="1:37" ht="12.75">
      <c r="A13" s="4"/>
      <c r="B13" s="4"/>
      <c r="C13" s="10" t="s">
        <v>7</v>
      </c>
      <c r="D13" s="58" t="s">
        <v>51</v>
      </c>
      <c r="E13" s="59"/>
      <c r="F13" s="59"/>
      <c r="G13" s="59"/>
      <c r="H13" s="24">
        <f>SUM(H14:H18)</f>
        <v>0</v>
      </c>
      <c r="I13" s="24">
        <f>SUM(I14:I18)</f>
        <v>0</v>
      </c>
      <c r="J13" s="24">
        <f>H13+I13</f>
        <v>0</v>
      </c>
      <c r="K13" s="19"/>
      <c r="L13" s="24">
        <f>SUM(L14:L18)</f>
        <v>0</v>
      </c>
      <c r="P13" s="24">
        <f>IF(Q13="PR",J13,SUM(O14:O18))</f>
        <v>0</v>
      </c>
      <c r="Q13" s="19" t="s">
        <v>95</v>
      </c>
      <c r="R13" s="24">
        <f>IF(Q13="HS",H13,0)</f>
        <v>0</v>
      </c>
      <c r="S13" s="24">
        <f>IF(Q13="HS",I13-P13,0)</f>
        <v>0</v>
      </c>
      <c r="T13" s="24">
        <f>IF(Q13="PS",H13,0)</f>
        <v>0</v>
      </c>
      <c r="U13" s="24">
        <f>IF(Q13="PS",I13-P13,0)</f>
        <v>0</v>
      </c>
      <c r="V13" s="24">
        <f>IF(Q13="MP",H13,0)</f>
        <v>0</v>
      </c>
      <c r="W13" s="24">
        <f>IF(Q13="MP",I13-P13,0)</f>
        <v>0</v>
      </c>
      <c r="X13" s="24">
        <f>IF(Q13="OM",H13,0)</f>
        <v>0</v>
      </c>
      <c r="Y13" s="19" t="s">
        <v>29</v>
      </c>
      <c r="AI13" s="24">
        <f>SUM(Z14:Z18)</f>
        <v>0</v>
      </c>
      <c r="AJ13" s="24">
        <f>SUM(AA14:AA18)</f>
        <v>0</v>
      </c>
      <c r="AK13" s="24">
        <f>SUM(AB14:AB18)</f>
        <v>0</v>
      </c>
    </row>
    <row r="14" spans="1:32" ht="12.75">
      <c r="A14" s="5" t="s">
        <v>7</v>
      </c>
      <c r="B14" s="5" t="s">
        <v>29</v>
      </c>
      <c r="C14" s="5" t="s">
        <v>31</v>
      </c>
      <c r="D14" s="47" t="s">
        <v>155</v>
      </c>
      <c r="E14" s="47" t="s">
        <v>71</v>
      </c>
      <c r="F14" s="49">
        <f>0.3*0.3*1*34+0.5*0.5*1*2+(6.67+14.09+36.78+14.65)*0.1*0.25</f>
        <v>5.36475</v>
      </c>
      <c r="G14" s="49"/>
      <c r="H14" s="12">
        <f>ROUND(F14*AE14,2)</f>
        <v>0</v>
      </c>
      <c r="I14" s="12">
        <f>J14-H14</f>
        <v>0</v>
      </c>
      <c r="J14" s="12">
        <f>ROUND(F14*G14,2)</f>
        <v>0</v>
      </c>
      <c r="K14" s="12">
        <v>0</v>
      </c>
      <c r="L14" s="12">
        <f>F14*K14</f>
        <v>0</v>
      </c>
      <c r="N14" s="22" t="s">
        <v>7</v>
      </c>
      <c r="O14" s="12">
        <f>IF(N14="5",I14,0)</f>
        <v>0</v>
      </c>
      <c r="Z14" s="12">
        <f>IF(AD14=0,J14,0)</f>
        <v>0</v>
      </c>
      <c r="AA14" s="12">
        <f>IF(AD14=14,J14,0)</f>
        <v>0</v>
      </c>
      <c r="AB14" s="12">
        <f>IF(AD14=20,J14,0)</f>
        <v>0</v>
      </c>
      <c r="AD14" s="12">
        <v>20</v>
      </c>
      <c r="AE14" s="12">
        <f>G14*0</f>
        <v>0</v>
      </c>
      <c r="AF14" s="12">
        <f>G14*(1-0)</f>
        <v>0</v>
      </c>
    </row>
    <row r="15" spans="1:32" ht="12.75">
      <c r="A15" s="5" t="s">
        <v>8</v>
      </c>
      <c r="B15" s="5" t="s">
        <v>29</v>
      </c>
      <c r="C15" s="5" t="s">
        <v>32</v>
      </c>
      <c r="D15" s="47" t="s">
        <v>156</v>
      </c>
      <c r="E15" s="47" t="s">
        <v>71</v>
      </c>
      <c r="F15" s="49">
        <f>F14/2</f>
        <v>2.682375</v>
      </c>
      <c r="G15" s="49"/>
      <c r="H15" s="12">
        <f>ROUND(F15*AE15,2)</f>
        <v>0</v>
      </c>
      <c r="I15" s="12">
        <f>J15-H15</f>
        <v>0</v>
      </c>
      <c r="J15" s="12">
        <f>ROUND(F15*G15,2)</f>
        <v>0</v>
      </c>
      <c r="K15" s="12">
        <v>0</v>
      </c>
      <c r="L15" s="12">
        <f>F15*K15</f>
        <v>0</v>
      </c>
      <c r="N15" s="22" t="s">
        <v>7</v>
      </c>
      <c r="O15" s="12">
        <f>IF(N15="5",I15,0)</f>
        <v>0</v>
      </c>
      <c r="Z15" s="12">
        <f>IF(AD15=0,J15,0)</f>
        <v>0</v>
      </c>
      <c r="AA15" s="12">
        <f>IF(AD15=14,J15,0)</f>
        <v>0</v>
      </c>
      <c r="AB15" s="12">
        <f>IF(AD15=20,J15,0)</f>
        <v>0</v>
      </c>
      <c r="AD15" s="12">
        <v>20</v>
      </c>
      <c r="AE15" s="12">
        <f>G15*0</f>
        <v>0</v>
      </c>
      <c r="AF15" s="12">
        <f>G15*(1-0)</f>
        <v>0</v>
      </c>
    </row>
    <row r="16" spans="1:32" ht="12.75">
      <c r="A16" s="5" t="s">
        <v>9</v>
      </c>
      <c r="B16" s="5" t="s">
        <v>29</v>
      </c>
      <c r="C16" s="5" t="s">
        <v>33</v>
      </c>
      <c r="D16" s="47" t="s">
        <v>52</v>
      </c>
      <c r="E16" s="47" t="s">
        <v>71</v>
      </c>
      <c r="F16" s="49">
        <f>F14</f>
        <v>5.36475</v>
      </c>
      <c r="G16" s="49"/>
      <c r="H16" s="12">
        <f>ROUND(F16*AE16,2)</f>
        <v>0</v>
      </c>
      <c r="I16" s="12">
        <f>J16-H16</f>
        <v>0</v>
      </c>
      <c r="J16" s="12">
        <f>ROUND(F16*G16,2)</f>
        <v>0</v>
      </c>
      <c r="K16" s="12">
        <v>0</v>
      </c>
      <c r="L16" s="12">
        <f>F16*K16</f>
        <v>0</v>
      </c>
      <c r="N16" s="22" t="s">
        <v>7</v>
      </c>
      <c r="O16" s="12">
        <f>IF(N16="5",I16,0)</f>
        <v>0</v>
      </c>
      <c r="Z16" s="12">
        <f>IF(AD16=0,J16,0)</f>
        <v>0</v>
      </c>
      <c r="AA16" s="12">
        <f>IF(AD16=14,J16,0)</f>
        <v>0</v>
      </c>
      <c r="AB16" s="12">
        <f>IF(AD16=20,J16,0)</f>
        <v>0</v>
      </c>
      <c r="AD16" s="12">
        <v>20</v>
      </c>
      <c r="AE16" s="12">
        <f>G16*0</f>
        <v>0</v>
      </c>
      <c r="AF16" s="12">
        <f>G16*(1-0)</f>
        <v>0</v>
      </c>
    </row>
    <row r="17" spans="1:32" ht="12.75">
      <c r="A17" s="5" t="s">
        <v>10</v>
      </c>
      <c r="B17" s="5" t="s">
        <v>29</v>
      </c>
      <c r="C17" s="5" t="s">
        <v>34</v>
      </c>
      <c r="D17" s="47" t="s">
        <v>53</v>
      </c>
      <c r="E17" s="47" t="s">
        <v>71</v>
      </c>
      <c r="F17" s="49">
        <f>F14</f>
        <v>5.36475</v>
      </c>
      <c r="G17" s="49"/>
      <c r="H17" s="12">
        <f>ROUND(F17*AE17,2)</f>
        <v>0</v>
      </c>
      <c r="I17" s="12">
        <f>J17-H17</f>
        <v>0</v>
      </c>
      <c r="J17" s="12">
        <f>ROUND(F17*G17,2)</f>
        <v>0</v>
      </c>
      <c r="K17" s="12">
        <v>0</v>
      </c>
      <c r="L17" s="12">
        <f>F17*K17</f>
        <v>0</v>
      </c>
      <c r="N17" s="22" t="s">
        <v>7</v>
      </c>
      <c r="O17" s="12">
        <f>IF(N17="5",I17,0)</f>
        <v>0</v>
      </c>
      <c r="Z17" s="12">
        <f>IF(AD17=0,J17,0)</f>
        <v>0</v>
      </c>
      <c r="AA17" s="12">
        <f>IF(AD17=14,J17,0)</f>
        <v>0</v>
      </c>
      <c r="AB17" s="12">
        <f>IF(AD17=20,J17,0)</f>
        <v>0</v>
      </c>
      <c r="AD17" s="12">
        <v>20</v>
      </c>
      <c r="AE17" s="12">
        <f>G17*0</f>
        <v>0</v>
      </c>
      <c r="AF17" s="12">
        <f>G17*(1-0)</f>
        <v>0</v>
      </c>
    </row>
    <row r="18" spans="1:32" ht="25.5">
      <c r="A18" s="5" t="s">
        <v>11</v>
      </c>
      <c r="B18" s="5" t="s">
        <v>29</v>
      </c>
      <c r="C18" s="5" t="s">
        <v>35</v>
      </c>
      <c r="D18" s="47" t="s">
        <v>54</v>
      </c>
      <c r="E18" s="47" t="s">
        <v>71</v>
      </c>
      <c r="F18" s="49">
        <f>F14</f>
        <v>5.36475</v>
      </c>
      <c r="G18" s="49"/>
      <c r="H18" s="12">
        <f>ROUND(F18*AE18,2)</f>
        <v>0</v>
      </c>
      <c r="I18" s="12">
        <f>J18-H18</f>
        <v>0</v>
      </c>
      <c r="J18" s="12">
        <f>ROUND(F18*G18,2)</f>
        <v>0</v>
      </c>
      <c r="K18" s="12">
        <v>0</v>
      </c>
      <c r="L18" s="12">
        <f>F18*K18</f>
        <v>0</v>
      </c>
      <c r="N18" s="22" t="s">
        <v>7</v>
      </c>
      <c r="O18" s="12">
        <f>IF(N18="5",I18,0)</f>
        <v>0</v>
      </c>
      <c r="Z18" s="12">
        <f>IF(AD18=0,J18,0)</f>
        <v>0</v>
      </c>
      <c r="AA18" s="12">
        <f>IF(AD18=14,J18,0)</f>
        <v>0</v>
      </c>
      <c r="AB18" s="12">
        <f>IF(AD18=20,J18,0)</f>
        <v>0</v>
      </c>
      <c r="AD18" s="12">
        <v>20</v>
      </c>
      <c r="AE18" s="12">
        <f>G18*0</f>
        <v>0</v>
      </c>
      <c r="AF18" s="12">
        <f>G18*(1-0)</f>
        <v>0</v>
      </c>
    </row>
    <row r="19" spans="1:37" ht="12.75">
      <c r="A19" s="4"/>
      <c r="B19" s="4"/>
      <c r="C19" s="10" t="s">
        <v>26</v>
      </c>
      <c r="D19" s="62" t="s">
        <v>55</v>
      </c>
      <c r="E19" s="63"/>
      <c r="F19" s="63"/>
      <c r="G19" s="63"/>
      <c r="H19" s="24">
        <f>SUM(H20:H21)</f>
        <v>0</v>
      </c>
      <c r="I19" s="24">
        <f>SUM(I20:I21)</f>
        <v>0</v>
      </c>
      <c r="J19" s="24">
        <f>H19+I19</f>
        <v>0</v>
      </c>
      <c r="K19" s="19"/>
      <c r="L19" s="24">
        <f>SUM(L20:L21)</f>
        <v>8.3114074</v>
      </c>
      <c r="P19" s="24">
        <f>IF(Q19="PR",J19,SUM(O20:O21))</f>
        <v>0</v>
      </c>
      <c r="Q19" s="19" t="s">
        <v>95</v>
      </c>
      <c r="R19" s="24">
        <f>IF(Q19="HS",H19,0)</f>
        <v>0</v>
      </c>
      <c r="S19" s="24">
        <f>IF(Q19="HS",I19-P19,0)</f>
        <v>0</v>
      </c>
      <c r="T19" s="24">
        <f>IF(Q19="PS",H19,0)</f>
        <v>0</v>
      </c>
      <c r="U19" s="24">
        <f>IF(Q19="PS",I19-P19,0)</f>
        <v>0</v>
      </c>
      <c r="V19" s="24">
        <f>IF(Q19="MP",H19,0)</f>
        <v>0</v>
      </c>
      <c r="W19" s="24">
        <f>IF(Q19="MP",I19-P19,0)</f>
        <v>0</v>
      </c>
      <c r="X19" s="24">
        <f>IF(Q19="OM",H19,0)</f>
        <v>0</v>
      </c>
      <c r="Y19" s="19" t="s">
        <v>29</v>
      </c>
      <c r="AI19" s="24">
        <f>SUM(Z20:Z21)</f>
        <v>0</v>
      </c>
      <c r="AJ19" s="24">
        <f>SUM(AA20:AA21)</f>
        <v>0</v>
      </c>
      <c r="AK19" s="24">
        <f>SUM(AB20:AB21)</f>
        <v>0</v>
      </c>
    </row>
    <row r="20" spans="1:32" ht="12.75">
      <c r="A20" s="5" t="s">
        <v>12</v>
      </c>
      <c r="B20" s="5" t="s">
        <v>29</v>
      </c>
      <c r="C20" s="5" t="s">
        <v>36</v>
      </c>
      <c r="D20" s="47" t="s">
        <v>56</v>
      </c>
      <c r="E20" s="47" t="s">
        <v>71</v>
      </c>
      <c r="F20" s="49">
        <f>0.3*0.3*0.1*34+0.5*0.5*0.1*2</f>
        <v>0.356</v>
      </c>
      <c r="G20" s="49"/>
      <c r="H20" s="12">
        <f>ROUND(F20*AE20,2)</f>
        <v>0</v>
      </c>
      <c r="I20" s="12">
        <f>J20-H20</f>
        <v>0</v>
      </c>
      <c r="J20" s="12">
        <f>ROUND(F20*G20,2)</f>
        <v>0</v>
      </c>
      <c r="K20" s="12">
        <v>1.9397</v>
      </c>
      <c r="L20" s="12">
        <f>F20*K20</f>
        <v>0.6905332</v>
      </c>
      <c r="N20" s="22" t="s">
        <v>7</v>
      </c>
      <c r="O20" s="12">
        <f>IF(N20="5",I20,0)</f>
        <v>0</v>
      </c>
      <c r="Z20" s="12">
        <f>IF(AD20=0,J20,0)</f>
        <v>0</v>
      </c>
      <c r="AA20" s="12">
        <f>IF(AD20=14,J20,0)</f>
        <v>0</v>
      </c>
      <c r="AB20" s="12">
        <f>IF(AD20=20,J20,0)</f>
        <v>0</v>
      </c>
      <c r="AD20" s="12">
        <v>20</v>
      </c>
      <c r="AE20" s="12">
        <f>G20*0.641179452517742</f>
        <v>0</v>
      </c>
      <c r="AF20" s="12">
        <f>G20*(1-0.641179452517742)</f>
        <v>0</v>
      </c>
    </row>
    <row r="21" spans="1:32" ht="12.75">
      <c r="A21" s="5" t="s">
        <v>13</v>
      </c>
      <c r="B21" s="5" t="s">
        <v>29</v>
      </c>
      <c r="C21" s="5" t="s">
        <v>37</v>
      </c>
      <c r="D21" s="47" t="s">
        <v>57</v>
      </c>
      <c r="E21" s="47" t="s">
        <v>71</v>
      </c>
      <c r="F21" s="49">
        <f>0.3*0.3*0.9*34+0.5*0.5*0.9*2</f>
        <v>3.204</v>
      </c>
      <c r="G21" s="49"/>
      <c r="H21" s="12">
        <f>ROUND(F21*AE21,2)</f>
        <v>0</v>
      </c>
      <c r="I21" s="12">
        <f>J21-H21</f>
        <v>0</v>
      </c>
      <c r="J21" s="12">
        <f>ROUND(F21*G21,2)</f>
        <v>0</v>
      </c>
      <c r="K21" s="12">
        <v>2.37855</v>
      </c>
      <c r="L21" s="12">
        <f>F21*K21</f>
        <v>7.620874200000001</v>
      </c>
      <c r="N21" s="22" t="s">
        <v>7</v>
      </c>
      <c r="O21" s="12">
        <f>IF(N21="5",I21,0)</f>
        <v>0</v>
      </c>
      <c r="Z21" s="12">
        <f>IF(AD21=0,J21,0)</f>
        <v>0</v>
      </c>
      <c r="AA21" s="12">
        <f>IF(AD21=14,J21,0)</f>
        <v>0</v>
      </c>
      <c r="AB21" s="12">
        <f>IF(AD21=20,J21,0)</f>
        <v>0</v>
      </c>
      <c r="AD21" s="12">
        <v>20</v>
      </c>
      <c r="AE21" s="12">
        <f>G21*0.918114522354266</f>
        <v>0</v>
      </c>
      <c r="AF21" s="12">
        <f>G21*(1-0.918114522354266)</f>
        <v>0</v>
      </c>
    </row>
    <row r="22" spans="1:37" ht="12.75">
      <c r="A22" s="4"/>
      <c r="B22" s="4"/>
      <c r="C22" s="10" t="s">
        <v>27</v>
      </c>
      <c r="D22" s="62" t="s">
        <v>58</v>
      </c>
      <c r="E22" s="63"/>
      <c r="F22" s="63"/>
      <c r="G22" s="63"/>
      <c r="H22" s="24">
        <f>SUM(H23:H23)</f>
        <v>0</v>
      </c>
      <c r="I22" s="24">
        <f>SUM(I23:I23)</f>
        <v>0</v>
      </c>
      <c r="J22" s="24">
        <f>H22+I22</f>
        <v>0</v>
      </c>
      <c r="K22" s="19"/>
      <c r="L22" s="24">
        <f>SUM(L23:L23)</f>
        <v>3.3456</v>
      </c>
      <c r="P22" s="24">
        <f>IF(Q22="PR",J22,SUM(O23:O23))</f>
        <v>0</v>
      </c>
      <c r="Q22" s="19" t="s">
        <v>95</v>
      </c>
      <c r="R22" s="24">
        <f>IF(Q22="HS",H22,0)</f>
        <v>0</v>
      </c>
      <c r="S22" s="24">
        <f>IF(Q22="HS",I22-P22,0)</f>
        <v>0</v>
      </c>
      <c r="T22" s="24">
        <f>IF(Q22="PS",H22,0)</f>
        <v>0</v>
      </c>
      <c r="U22" s="24">
        <f>IF(Q22="PS",I22-P22,0)</f>
        <v>0</v>
      </c>
      <c r="V22" s="24">
        <f>IF(Q22="MP",H22,0)</f>
        <v>0</v>
      </c>
      <c r="W22" s="24">
        <f>IF(Q22="MP",I22-P22,0)</f>
        <v>0</v>
      </c>
      <c r="X22" s="24">
        <f>IF(Q22="OM",H22,0)</f>
        <v>0</v>
      </c>
      <c r="Y22" s="19" t="s">
        <v>29</v>
      </c>
      <c r="AI22" s="24">
        <f>SUM(Z23:Z23)</f>
        <v>0</v>
      </c>
      <c r="AJ22" s="24">
        <f>SUM(AA23:AA23)</f>
        <v>0</v>
      </c>
      <c r="AK22" s="24">
        <f>SUM(AB23:AB23)</f>
        <v>0</v>
      </c>
    </row>
    <row r="23" spans="1:32" ht="12.75">
      <c r="A23" s="5" t="s">
        <v>14</v>
      </c>
      <c r="B23" s="5" t="s">
        <v>29</v>
      </c>
      <c r="C23" s="5" t="s">
        <v>38</v>
      </c>
      <c r="D23" s="47" t="s">
        <v>59</v>
      </c>
      <c r="E23" s="47" t="s">
        <v>73</v>
      </c>
      <c r="F23" s="49">
        <v>34</v>
      </c>
      <c r="G23" s="49"/>
      <c r="H23" s="12">
        <f>ROUND(F23*AE23,2)</f>
        <v>0</v>
      </c>
      <c r="I23" s="12">
        <f>J23-H23</f>
        <v>0</v>
      </c>
      <c r="J23" s="12">
        <f>ROUND(F23*G23,2)</f>
        <v>0</v>
      </c>
      <c r="K23" s="12">
        <v>0.0984</v>
      </c>
      <c r="L23" s="12">
        <f>F23*K23</f>
        <v>3.3456</v>
      </c>
      <c r="N23" s="22" t="s">
        <v>7</v>
      </c>
      <c r="O23" s="12">
        <f>IF(N23="5",I23,0)</f>
        <v>0</v>
      </c>
      <c r="Z23" s="12">
        <f>IF(AD23=0,J23,0)</f>
        <v>0</v>
      </c>
      <c r="AA23" s="12">
        <f>IF(AD23=14,J23,0)</f>
        <v>0</v>
      </c>
      <c r="AB23" s="12">
        <f>IF(AD23=20,J23,0)</f>
        <v>0</v>
      </c>
      <c r="AD23" s="12">
        <v>20</v>
      </c>
      <c r="AE23" s="12">
        <f>G23*0.529749670619236</f>
        <v>0</v>
      </c>
      <c r="AF23" s="12">
        <f>G23*(1-0.529749670619236)</f>
        <v>0</v>
      </c>
    </row>
    <row r="24" spans="1:37" ht="12.75">
      <c r="A24" s="4"/>
      <c r="B24" s="4"/>
      <c r="C24" s="10" t="s">
        <v>39</v>
      </c>
      <c r="D24" s="62" t="s">
        <v>60</v>
      </c>
      <c r="E24" s="63"/>
      <c r="F24" s="63"/>
      <c r="G24" s="63"/>
      <c r="H24" s="24">
        <f>SUM(H25:H34)</f>
        <v>0</v>
      </c>
      <c r="I24" s="24">
        <f>SUM(I25:I34)</f>
        <v>0</v>
      </c>
      <c r="J24" s="24">
        <f>H24+I24</f>
        <v>0</v>
      </c>
      <c r="K24" s="19"/>
      <c r="L24" s="24">
        <f>SUM(L25:L33)</f>
        <v>0.8880239999999999</v>
      </c>
      <c r="P24" s="24">
        <f>IF(Q24="PR",J24,SUM(O25:O33))</f>
        <v>0</v>
      </c>
      <c r="Q24" s="19" t="s">
        <v>96</v>
      </c>
      <c r="R24" s="24">
        <f>IF(Q24="HS",H24,0)</f>
        <v>0</v>
      </c>
      <c r="S24" s="24">
        <f>IF(Q24="HS",I24-P24,0)</f>
        <v>0</v>
      </c>
      <c r="T24" s="24">
        <f>IF(Q24="PS",H24,0)</f>
        <v>0</v>
      </c>
      <c r="U24" s="24">
        <f>IF(Q24="PS",I24-P24,0)</f>
        <v>0</v>
      </c>
      <c r="V24" s="24">
        <f>IF(Q24="MP",H24,0)</f>
        <v>0</v>
      </c>
      <c r="W24" s="24">
        <f>IF(Q24="MP",I24-P24,0)</f>
        <v>0</v>
      </c>
      <c r="X24" s="24">
        <f>IF(Q24="OM",H24,0)</f>
        <v>0</v>
      </c>
      <c r="Y24" s="19" t="s">
        <v>29</v>
      </c>
      <c r="AI24" s="24">
        <f>SUM(Z25:Z33)</f>
        <v>0</v>
      </c>
      <c r="AJ24" s="24">
        <f>SUM(AA25:AA33)</f>
        <v>0</v>
      </c>
      <c r="AK24" s="24">
        <f>SUM(AB25:AB33)</f>
        <v>0</v>
      </c>
    </row>
    <row r="25" spans="1:32" ht="12.75">
      <c r="A25" s="5" t="s">
        <v>15</v>
      </c>
      <c r="B25" s="5" t="s">
        <v>29</v>
      </c>
      <c r="C25" s="5" t="s">
        <v>40</v>
      </c>
      <c r="D25" s="47" t="s">
        <v>61</v>
      </c>
      <c r="E25" s="47" t="s">
        <v>70</v>
      </c>
      <c r="F25" s="49">
        <f>6.67+14.09+36.78+14.65</f>
        <v>72.19</v>
      </c>
      <c r="G25" s="49"/>
      <c r="H25" s="12">
        <f aca="true" t="shared" si="0" ref="H25:H34">ROUND(F25*AE25,2)</f>
        <v>0</v>
      </c>
      <c r="I25" s="12">
        <f aca="true" t="shared" si="1" ref="I25:I34">J25-H25</f>
        <v>0</v>
      </c>
      <c r="J25" s="12">
        <f aca="true" t="shared" si="2" ref="J25:J34">ROUND(F25*G25,2)</f>
        <v>0</v>
      </c>
      <c r="K25" s="12">
        <v>0</v>
      </c>
      <c r="L25" s="12">
        <f aca="true" t="shared" si="3" ref="L25:L34">F25*K25</f>
        <v>0</v>
      </c>
      <c r="N25" s="22" t="s">
        <v>7</v>
      </c>
      <c r="O25" s="12">
        <f aca="true" t="shared" si="4" ref="O25:O33">IF(N25="5",I25,0)</f>
        <v>0</v>
      </c>
      <c r="Z25" s="12">
        <f aca="true" t="shared" si="5" ref="Z25:Z33">IF(AD25=0,J25,0)</f>
        <v>0</v>
      </c>
      <c r="AA25" s="12">
        <f aca="true" t="shared" si="6" ref="AA25:AA33">IF(AD25=14,J25,0)</f>
        <v>0</v>
      </c>
      <c r="AB25" s="12">
        <f aca="true" t="shared" si="7" ref="AB25:AB33">IF(AD25=20,J25,0)</f>
        <v>0</v>
      </c>
      <c r="AD25" s="12">
        <v>20</v>
      </c>
      <c r="AE25" s="12">
        <f>G25*0</f>
        <v>0</v>
      </c>
      <c r="AF25" s="12">
        <f>G25*(1-0)</f>
        <v>0</v>
      </c>
    </row>
    <row r="26" spans="1:32" ht="12.75">
      <c r="A26" s="5" t="s">
        <v>16</v>
      </c>
      <c r="B26" s="5" t="s">
        <v>29</v>
      </c>
      <c r="C26" s="5" t="s">
        <v>41</v>
      </c>
      <c r="D26" s="47" t="s">
        <v>62</v>
      </c>
      <c r="E26" s="47" t="s">
        <v>73</v>
      </c>
      <c r="F26" s="49">
        <v>1</v>
      </c>
      <c r="G26" s="49"/>
      <c r="H26" s="12">
        <f t="shared" si="0"/>
        <v>0</v>
      </c>
      <c r="I26" s="12">
        <f t="shared" si="1"/>
        <v>0</v>
      </c>
      <c r="J26" s="12">
        <f t="shared" si="2"/>
        <v>0</v>
      </c>
      <c r="K26" s="12">
        <v>0</v>
      </c>
      <c r="L26" s="12">
        <f t="shared" si="3"/>
        <v>0</v>
      </c>
      <c r="N26" s="22" t="s">
        <v>7</v>
      </c>
      <c r="O26" s="12">
        <f t="shared" si="4"/>
        <v>0</v>
      </c>
      <c r="Z26" s="12">
        <f t="shared" si="5"/>
        <v>0</v>
      </c>
      <c r="AA26" s="12">
        <f t="shared" si="6"/>
        <v>0</v>
      </c>
      <c r="AB26" s="12">
        <f t="shared" si="7"/>
        <v>0</v>
      </c>
      <c r="AD26" s="12">
        <v>20</v>
      </c>
      <c r="AE26" s="12">
        <f>G26*0</f>
        <v>0</v>
      </c>
      <c r="AF26" s="12">
        <f>G26*(1-0)</f>
        <v>0</v>
      </c>
    </row>
    <row r="27" spans="1:32" ht="12.75">
      <c r="A27" s="5" t="s">
        <v>17</v>
      </c>
      <c r="B27" s="5" t="s">
        <v>29</v>
      </c>
      <c r="C27" s="5" t="s">
        <v>42</v>
      </c>
      <c r="D27" s="47" t="s">
        <v>157</v>
      </c>
      <c r="E27" s="47" t="s">
        <v>73</v>
      </c>
      <c r="F27" s="49">
        <v>34</v>
      </c>
      <c r="G27" s="49"/>
      <c r="H27" s="12">
        <f t="shared" si="0"/>
        <v>0</v>
      </c>
      <c r="I27" s="12">
        <f t="shared" si="1"/>
        <v>0</v>
      </c>
      <c r="J27" s="12">
        <f t="shared" si="2"/>
        <v>0</v>
      </c>
      <c r="K27" s="12">
        <v>0.0081</v>
      </c>
      <c r="L27" s="12">
        <f t="shared" si="3"/>
        <v>0.2754</v>
      </c>
      <c r="N27" s="22" t="s">
        <v>92</v>
      </c>
      <c r="O27" s="12">
        <f t="shared" si="4"/>
        <v>0</v>
      </c>
      <c r="Z27" s="12">
        <f t="shared" si="5"/>
        <v>0</v>
      </c>
      <c r="AA27" s="12">
        <f t="shared" si="6"/>
        <v>0</v>
      </c>
      <c r="AB27" s="12">
        <f t="shared" si="7"/>
        <v>0</v>
      </c>
      <c r="AD27" s="12">
        <v>20</v>
      </c>
      <c r="AE27" s="12">
        <f aca="true" t="shared" si="8" ref="AE27:AE33">G27*1</f>
        <v>0</v>
      </c>
      <c r="AF27" s="12">
        <f aca="true" t="shared" si="9" ref="AF27:AF33">G27*(1-1)</f>
        <v>0</v>
      </c>
    </row>
    <row r="28" spans="1:32" ht="12.75">
      <c r="A28" s="5" t="s">
        <v>18</v>
      </c>
      <c r="B28" s="5" t="s">
        <v>29</v>
      </c>
      <c r="C28" s="5" t="s">
        <v>43</v>
      </c>
      <c r="D28" s="47" t="s">
        <v>158</v>
      </c>
      <c r="E28" s="47" t="s">
        <v>73</v>
      </c>
      <c r="F28" s="49">
        <f>3+6+15+6</f>
        <v>30</v>
      </c>
      <c r="G28" s="49"/>
      <c r="H28" s="12">
        <f t="shared" si="0"/>
        <v>0</v>
      </c>
      <c r="I28" s="12">
        <f t="shared" si="1"/>
        <v>0</v>
      </c>
      <c r="J28" s="12">
        <f t="shared" si="2"/>
        <v>0</v>
      </c>
      <c r="K28" s="12">
        <v>0.0197</v>
      </c>
      <c r="L28" s="12">
        <f t="shared" si="3"/>
        <v>0.591</v>
      </c>
      <c r="N28" s="22" t="s">
        <v>92</v>
      </c>
      <c r="O28" s="12">
        <f t="shared" si="4"/>
        <v>0</v>
      </c>
      <c r="Z28" s="12">
        <f t="shared" si="5"/>
        <v>0</v>
      </c>
      <c r="AA28" s="12">
        <f t="shared" si="6"/>
        <v>0</v>
      </c>
      <c r="AB28" s="12">
        <f t="shared" si="7"/>
        <v>0</v>
      </c>
      <c r="AD28" s="12">
        <v>20</v>
      </c>
      <c r="AE28" s="12">
        <f t="shared" si="8"/>
        <v>0</v>
      </c>
      <c r="AF28" s="12">
        <f t="shared" si="9"/>
        <v>0</v>
      </c>
    </row>
    <row r="29" spans="1:32" ht="25.5">
      <c r="A29" s="5" t="s">
        <v>19</v>
      </c>
      <c r="B29" s="5" t="s">
        <v>29</v>
      </c>
      <c r="C29" s="5" t="s">
        <v>152</v>
      </c>
      <c r="D29" s="47" t="s">
        <v>159</v>
      </c>
      <c r="E29" s="47" t="s">
        <v>74</v>
      </c>
      <c r="F29" s="49">
        <v>1</v>
      </c>
      <c r="G29" s="49"/>
      <c r="H29" s="12">
        <f t="shared" si="0"/>
        <v>0</v>
      </c>
      <c r="I29" s="12">
        <f t="shared" si="1"/>
        <v>0</v>
      </c>
      <c r="J29" s="12">
        <f t="shared" si="2"/>
        <v>0</v>
      </c>
      <c r="K29" s="12">
        <v>0</v>
      </c>
      <c r="L29" s="12">
        <f t="shared" si="3"/>
        <v>0</v>
      </c>
      <c r="N29" s="22" t="s">
        <v>92</v>
      </c>
      <c r="O29" s="12">
        <f t="shared" si="4"/>
        <v>0</v>
      </c>
      <c r="Z29" s="12">
        <f t="shared" si="5"/>
        <v>0</v>
      </c>
      <c r="AA29" s="12">
        <f t="shared" si="6"/>
        <v>0</v>
      </c>
      <c r="AB29" s="12">
        <f t="shared" si="7"/>
        <v>0</v>
      </c>
      <c r="AD29" s="12">
        <v>20</v>
      </c>
      <c r="AE29" s="12">
        <f t="shared" si="8"/>
        <v>0</v>
      </c>
      <c r="AF29" s="12">
        <f t="shared" si="9"/>
        <v>0</v>
      </c>
    </row>
    <row r="30" spans="1:32" ht="38.25">
      <c r="A30" s="5" t="s">
        <v>20</v>
      </c>
      <c r="B30" s="5" t="s">
        <v>29</v>
      </c>
      <c r="C30" s="5" t="s">
        <v>160</v>
      </c>
      <c r="D30" s="47" t="s">
        <v>161</v>
      </c>
      <c r="E30" s="47" t="s">
        <v>162</v>
      </c>
      <c r="F30" s="49">
        <f>68*0.5*10.6</f>
        <v>360.4</v>
      </c>
      <c r="G30" s="49"/>
      <c r="H30" s="12">
        <f t="shared" si="0"/>
        <v>0</v>
      </c>
      <c r="I30" s="12">
        <f t="shared" si="1"/>
        <v>0</v>
      </c>
      <c r="J30" s="12">
        <f t="shared" si="2"/>
        <v>0</v>
      </c>
      <c r="K30" s="12">
        <v>6E-05</v>
      </c>
      <c r="L30" s="12">
        <f t="shared" si="3"/>
        <v>0.021624</v>
      </c>
      <c r="N30" s="22"/>
      <c r="O30" s="12"/>
      <c r="Z30" s="12"/>
      <c r="AA30" s="12"/>
      <c r="AB30" s="12"/>
      <c r="AD30" s="12"/>
      <c r="AE30" s="12"/>
      <c r="AF30" s="12"/>
    </row>
    <row r="31" spans="1:32" ht="12.75">
      <c r="A31" s="5" t="s">
        <v>21</v>
      </c>
      <c r="B31" s="5" t="s">
        <v>29</v>
      </c>
      <c r="C31" s="5" t="s">
        <v>44</v>
      </c>
      <c r="D31" s="47" t="s">
        <v>163</v>
      </c>
      <c r="E31" s="47" t="s">
        <v>72</v>
      </c>
      <c r="F31" s="49">
        <f>68*0.5*10.6/1000</f>
        <v>0.3604</v>
      </c>
      <c r="G31" s="49"/>
      <c r="H31" s="12">
        <f t="shared" si="0"/>
        <v>0</v>
      </c>
      <c r="I31" s="12">
        <f t="shared" si="1"/>
        <v>0</v>
      </c>
      <c r="J31" s="12">
        <f t="shared" si="2"/>
        <v>0</v>
      </c>
      <c r="K31" s="12">
        <v>0</v>
      </c>
      <c r="L31" s="12">
        <f t="shared" si="3"/>
        <v>0</v>
      </c>
      <c r="N31" s="22"/>
      <c r="O31" s="12"/>
      <c r="Z31" s="12"/>
      <c r="AA31" s="12"/>
      <c r="AB31" s="12"/>
      <c r="AD31" s="12"/>
      <c r="AE31" s="12"/>
      <c r="AF31" s="12"/>
    </row>
    <row r="32" spans="1:32" ht="12.75">
      <c r="A32" s="5" t="s">
        <v>22</v>
      </c>
      <c r="B32" s="5" t="s">
        <v>29</v>
      </c>
      <c r="C32" s="5" t="s">
        <v>151</v>
      </c>
      <c r="D32" s="47" t="s">
        <v>164</v>
      </c>
      <c r="E32" s="47" t="s">
        <v>70</v>
      </c>
      <c r="F32" s="49">
        <f>34*2*0.1</f>
        <v>6.800000000000001</v>
      </c>
      <c r="G32" s="49"/>
      <c r="H32" s="12">
        <f t="shared" si="0"/>
        <v>0</v>
      </c>
      <c r="I32" s="12">
        <f t="shared" si="1"/>
        <v>0</v>
      </c>
      <c r="J32" s="12">
        <f t="shared" si="2"/>
        <v>0</v>
      </c>
      <c r="K32" s="12">
        <v>0</v>
      </c>
      <c r="L32" s="12">
        <f t="shared" si="3"/>
        <v>0</v>
      </c>
      <c r="N32" s="22" t="s">
        <v>92</v>
      </c>
      <c r="O32" s="12">
        <f t="shared" si="4"/>
        <v>0</v>
      </c>
      <c r="Z32" s="12">
        <f t="shared" si="5"/>
        <v>0</v>
      </c>
      <c r="AA32" s="12">
        <f t="shared" si="6"/>
        <v>0</v>
      </c>
      <c r="AB32" s="12">
        <f t="shared" si="7"/>
        <v>0</v>
      </c>
      <c r="AD32" s="12">
        <v>20</v>
      </c>
      <c r="AE32" s="12">
        <f t="shared" si="8"/>
        <v>0</v>
      </c>
      <c r="AF32" s="12">
        <f t="shared" si="9"/>
        <v>0</v>
      </c>
    </row>
    <row r="33" spans="1:32" ht="12.75">
      <c r="A33" s="5" t="s">
        <v>23</v>
      </c>
      <c r="B33" s="5" t="s">
        <v>29</v>
      </c>
      <c r="C33" s="5" t="s">
        <v>165</v>
      </c>
      <c r="D33" s="47" t="s">
        <v>166</v>
      </c>
      <c r="E33" s="47" t="s">
        <v>73</v>
      </c>
      <c r="F33" s="49">
        <f>3+6+15+6</f>
        <v>30</v>
      </c>
      <c r="G33" s="49"/>
      <c r="H33" s="12">
        <f t="shared" si="0"/>
        <v>0</v>
      </c>
      <c r="I33" s="12">
        <f t="shared" si="1"/>
        <v>0</v>
      </c>
      <c r="J33" s="12">
        <f t="shared" si="2"/>
        <v>0</v>
      </c>
      <c r="K33" s="12">
        <v>0</v>
      </c>
      <c r="L33" s="12">
        <f t="shared" si="3"/>
        <v>0</v>
      </c>
      <c r="N33" s="22" t="s">
        <v>7</v>
      </c>
      <c r="O33" s="12">
        <f t="shared" si="4"/>
        <v>0</v>
      </c>
      <c r="Z33" s="12">
        <f t="shared" si="5"/>
        <v>0</v>
      </c>
      <c r="AA33" s="12">
        <f t="shared" si="6"/>
        <v>0</v>
      </c>
      <c r="AB33" s="12">
        <f t="shared" si="7"/>
        <v>0</v>
      </c>
      <c r="AD33" s="12">
        <v>20</v>
      </c>
      <c r="AE33" s="12">
        <f t="shared" si="8"/>
        <v>0</v>
      </c>
      <c r="AF33" s="12">
        <f t="shared" si="9"/>
        <v>0</v>
      </c>
    </row>
    <row r="34" spans="1:32" ht="12.75">
      <c r="A34" s="5" t="s">
        <v>24</v>
      </c>
      <c r="B34" s="5" t="s">
        <v>29</v>
      </c>
      <c r="C34" s="5" t="s">
        <v>167</v>
      </c>
      <c r="D34" s="107" t="s">
        <v>168</v>
      </c>
      <c r="E34" s="47" t="s">
        <v>73</v>
      </c>
      <c r="F34" s="49">
        <v>30</v>
      </c>
      <c r="G34" s="49"/>
      <c r="H34" s="12">
        <f t="shared" si="0"/>
        <v>0</v>
      </c>
      <c r="I34" s="12">
        <f t="shared" si="1"/>
        <v>0</v>
      </c>
      <c r="J34" s="12">
        <f t="shared" si="2"/>
        <v>0</v>
      </c>
      <c r="K34" s="12">
        <v>0.0054</v>
      </c>
      <c r="L34" s="12">
        <f t="shared" si="3"/>
        <v>0.162</v>
      </c>
      <c r="N34" s="22"/>
      <c r="O34" s="12"/>
      <c r="Z34" s="12"/>
      <c r="AA34" s="12"/>
      <c r="AB34" s="12"/>
      <c r="AD34" s="12"/>
      <c r="AE34" s="12"/>
      <c r="AF34" s="12"/>
    </row>
    <row r="35" spans="1:37" ht="12.75">
      <c r="A35" s="4"/>
      <c r="B35" s="4"/>
      <c r="C35" s="10" t="s">
        <v>45</v>
      </c>
      <c r="D35" s="62" t="s">
        <v>63</v>
      </c>
      <c r="E35" s="63"/>
      <c r="F35" s="63"/>
      <c r="G35" s="63"/>
      <c r="H35" s="24">
        <f>SUM(H36:H36)</f>
        <v>0</v>
      </c>
      <c r="I35" s="24">
        <f>SUM(I36:I36)</f>
        <v>0</v>
      </c>
      <c r="J35" s="24">
        <f>H35+I35</f>
        <v>0</v>
      </c>
      <c r="K35" s="19"/>
      <c r="L35" s="24">
        <f>SUM(L36:L36)</f>
        <v>0</v>
      </c>
      <c r="P35" s="24">
        <f>IF(Q35="PR",J35,SUM(O36:O36))</f>
        <v>0</v>
      </c>
      <c r="Q35" s="19" t="s">
        <v>97</v>
      </c>
      <c r="R35" s="24">
        <f>IF(Q35="HS",H35,0)</f>
        <v>0</v>
      </c>
      <c r="S35" s="24">
        <f>IF(Q35="HS",I35-P35,0)</f>
        <v>0</v>
      </c>
      <c r="T35" s="24">
        <f>IF(Q35="PS",H35,0)</f>
        <v>0</v>
      </c>
      <c r="U35" s="24">
        <f>IF(Q35="PS",I35-P35,0)</f>
        <v>0</v>
      </c>
      <c r="V35" s="24">
        <f>IF(Q35="MP",H35,0)</f>
        <v>0</v>
      </c>
      <c r="W35" s="24">
        <f>IF(Q35="MP",I35-P35,0)</f>
        <v>0</v>
      </c>
      <c r="X35" s="24">
        <f>IF(Q35="OM",H35,0)</f>
        <v>0</v>
      </c>
      <c r="Y35" s="19" t="s">
        <v>29</v>
      </c>
      <c r="AI35" s="24">
        <f>SUM(Z36:Z36)</f>
        <v>0</v>
      </c>
      <c r="AJ35" s="24">
        <f>SUM(AA36:AA36)</f>
        <v>0</v>
      </c>
      <c r="AK35" s="24">
        <f>SUM(AB36:AB36)</f>
        <v>0</v>
      </c>
    </row>
    <row r="36" spans="1:32" ht="12.75">
      <c r="A36" s="5" t="s">
        <v>25</v>
      </c>
      <c r="B36" s="5" t="s">
        <v>29</v>
      </c>
      <c r="C36" s="5" t="s">
        <v>46</v>
      </c>
      <c r="D36" s="47" t="s">
        <v>64</v>
      </c>
      <c r="E36" s="47" t="s">
        <v>72</v>
      </c>
      <c r="F36" s="49">
        <v>12.55</v>
      </c>
      <c r="G36" s="49"/>
      <c r="H36" s="12">
        <f>ROUND(F36*AE36,2)</f>
        <v>0</v>
      </c>
      <c r="I36" s="12">
        <f>J36-H36</f>
        <v>0</v>
      </c>
      <c r="J36" s="12">
        <f>ROUND(F36*G36,2)</f>
        <v>0</v>
      </c>
      <c r="K36" s="12">
        <v>0</v>
      </c>
      <c r="L36" s="12">
        <f>F36*K36</f>
        <v>0</v>
      </c>
      <c r="N36" s="22" t="s">
        <v>11</v>
      </c>
      <c r="O36" s="12">
        <f>IF(N36="5",I36,0)</f>
        <v>0</v>
      </c>
      <c r="Z36" s="12">
        <f>IF(AD36=0,J36,0)</f>
        <v>0</v>
      </c>
      <c r="AA36" s="12">
        <f>IF(AD36=14,J36,0)</f>
        <v>0</v>
      </c>
      <c r="AB36" s="12">
        <f>IF(AD36=20,J36,0)</f>
        <v>0</v>
      </c>
      <c r="AD36" s="12">
        <v>20</v>
      </c>
      <c r="AE36" s="12">
        <f>G36*0</f>
        <v>0</v>
      </c>
      <c r="AF36" s="12">
        <f>G36*(1-0)</f>
        <v>0</v>
      </c>
    </row>
    <row r="37" spans="1:28" ht="12.75">
      <c r="A37" s="6"/>
      <c r="B37" s="6"/>
      <c r="C37" s="6"/>
      <c r="D37" s="50"/>
      <c r="E37" s="50"/>
      <c r="F37" s="50"/>
      <c r="G37" s="50"/>
      <c r="H37" s="60" t="s">
        <v>81</v>
      </c>
      <c r="I37" s="61"/>
      <c r="J37" s="25">
        <f>J13+J19+J22+J24+J35</f>
        <v>0</v>
      </c>
      <c r="K37" s="6"/>
      <c r="L37" s="6"/>
      <c r="Z37" s="26">
        <f>SUM(Z13:Z36)</f>
        <v>0</v>
      </c>
      <c r="AA37" s="26">
        <f>SUM(AA13:AA36)</f>
        <v>0</v>
      </c>
      <c r="AB37" s="26">
        <f>SUM(AB13:AB36)</f>
        <v>0</v>
      </c>
    </row>
  </sheetData>
  <sheetProtection/>
  <mergeCells count="34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3:G13"/>
    <mergeCell ref="H37:I37"/>
    <mergeCell ref="D19:G19"/>
    <mergeCell ref="D22:G22"/>
    <mergeCell ref="D24:G24"/>
    <mergeCell ref="D35:G35"/>
  </mergeCells>
  <printOptions/>
  <pageMargins left="0.787401575" right="0.787401575" top="0.984251969" bottom="0.984251969" header="0.4921259845" footer="0.4921259845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76" t="s">
        <v>105</v>
      </c>
      <c r="B1" s="77"/>
      <c r="C1" s="77"/>
      <c r="D1" s="77"/>
      <c r="E1" s="77"/>
      <c r="F1" s="77"/>
      <c r="G1" s="34"/>
    </row>
    <row r="2" spans="1:8" ht="12.75">
      <c r="A2" s="78" t="s">
        <v>1</v>
      </c>
      <c r="B2" s="60" t="s">
        <v>47</v>
      </c>
      <c r="C2" s="61"/>
      <c r="D2" s="64" t="s">
        <v>82</v>
      </c>
      <c r="E2" s="64" t="s">
        <v>87</v>
      </c>
      <c r="F2" s="65"/>
      <c r="G2" s="70"/>
      <c r="H2" s="20"/>
    </row>
    <row r="3" spans="1:8" ht="12.75">
      <c r="A3" s="79"/>
      <c r="B3" s="75"/>
      <c r="C3" s="75"/>
      <c r="D3" s="66"/>
      <c r="E3" s="66"/>
      <c r="F3" s="66"/>
      <c r="G3" s="71"/>
      <c r="H3" s="20"/>
    </row>
    <row r="4" spans="1:8" ht="12.75">
      <c r="A4" s="73" t="s">
        <v>2</v>
      </c>
      <c r="B4" s="69" t="s">
        <v>153</v>
      </c>
      <c r="C4" s="66"/>
      <c r="D4" s="69" t="s">
        <v>83</v>
      </c>
      <c r="E4" s="69" t="s">
        <v>88</v>
      </c>
      <c r="F4" s="66"/>
      <c r="G4" s="71"/>
      <c r="H4" s="20"/>
    </row>
    <row r="5" spans="1:8" ht="12.75">
      <c r="A5" s="79"/>
      <c r="B5" s="66"/>
      <c r="C5" s="66"/>
      <c r="D5" s="66"/>
      <c r="E5" s="66"/>
      <c r="F5" s="66"/>
      <c r="G5" s="71"/>
      <c r="H5" s="20"/>
    </row>
    <row r="6" spans="1:8" ht="12.75">
      <c r="A6" s="73" t="s">
        <v>3</v>
      </c>
      <c r="B6" s="69" t="s">
        <v>48</v>
      </c>
      <c r="C6" s="66"/>
      <c r="D6" s="69" t="s">
        <v>84</v>
      </c>
      <c r="E6" s="69" t="s">
        <v>89</v>
      </c>
      <c r="F6" s="66"/>
      <c r="G6" s="71"/>
      <c r="H6" s="20"/>
    </row>
    <row r="7" spans="1:8" ht="12.75">
      <c r="A7" s="79"/>
      <c r="B7" s="66"/>
      <c r="C7" s="66"/>
      <c r="D7" s="66"/>
      <c r="E7" s="66"/>
      <c r="F7" s="66"/>
      <c r="G7" s="71"/>
      <c r="H7" s="20"/>
    </row>
    <row r="8" spans="1:8" ht="12.75">
      <c r="A8" s="73" t="s">
        <v>85</v>
      </c>
      <c r="B8" s="69"/>
      <c r="C8" s="66"/>
      <c r="D8" s="69" t="s">
        <v>68</v>
      </c>
      <c r="E8" s="67">
        <v>41539</v>
      </c>
      <c r="F8" s="66"/>
      <c r="G8" s="71"/>
      <c r="H8" s="20"/>
    </row>
    <row r="9" spans="1:8" ht="12.75">
      <c r="A9" s="74"/>
      <c r="B9" s="68"/>
      <c r="C9" s="68"/>
      <c r="D9" s="68"/>
      <c r="E9" s="68"/>
      <c r="F9" s="68"/>
      <c r="G9" s="72"/>
      <c r="H9" s="20"/>
    </row>
    <row r="10" spans="1:8" ht="12.75">
      <c r="A10" s="27" t="s">
        <v>28</v>
      </c>
      <c r="B10" s="29" t="s">
        <v>30</v>
      </c>
      <c r="C10" s="30" t="s">
        <v>49</v>
      </c>
      <c r="D10" s="31" t="s">
        <v>106</v>
      </c>
      <c r="E10" s="31" t="s">
        <v>107</v>
      </c>
      <c r="F10" s="31" t="s">
        <v>108</v>
      </c>
      <c r="G10" s="35" t="s">
        <v>109</v>
      </c>
      <c r="H10" s="21"/>
    </row>
    <row r="11" spans="1:9" ht="12.75">
      <c r="A11" s="28" t="s">
        <v>29</v>
      </c>
      <c r="B11" s="28"/>
      <c r="C11" s="48" t="s">
        <v>50</v>
      </c>
      <c r="D11" s="52">
        <f>'Stavební rozpočet'!H12</f>
        <v>0</v>
      </c>
      <c r="E11" s="52">
        <f>'Stavební rozpočet'!I12</f>
        <v>0</v>
      </c>
      <c r="F11" s="52">
        <f aca="true" t="shared" si="0" ref="F11:F16">D11+E11</f>
        <v>0</v>
      </c>
      <c r="G11" s="32">
        <v>21.21585</v>
      </c>
      <c r="H11" s="12" t="s">
        <v>75</v>
      </c>
      <c r="I11" s="12">
        <f aca="true" t="shared" si="1" ref="I11:I16">IF(H11="T",0,F11)</f>
        <v>0</v>
      </c>
    </row>
    <row r="12" spans="1:9" ht="12.75">
      <c r="A12" s="5" t="s">
        <v>29</v>
      </c>
      <c r="B12" s="5" t="s">
        <v>7</v>
      </c>
      <c r="C12" s="5" t="s">
        <v>51</v>
      </c>
      <c r="D12" s="12">
        <f>'Stavební rozpočet'!H13</f>
        <v>0</v>
      </c>
      <c r="E12" s="12">
        <f>'Stavební rozpočet'!I13</f>
        <v>0</v>
      </c>
      <c r="F12" s="12">
        <f t="shared" si="0"/>
        <v>0</v>
      </c>
      <c r="G12" s="12">
        <v>0.91224</v>
      </c>
      <c r="H12" s="12" t="s">
        <v>110</v>
      </c>
      <c r="I12" s="12">
        <f t="shared" si="1"/>
        <v>0</v>
      </c>
    </row>
    <row r="13" spans="1:9" ht="12.75">
      <c r="A13" s="5" t="s">
        <v>29</v>
      </c>
      <c r="B13" s="5" t="s">
        <v>26</v>
      </c>
      <c r="C13" s="5" t="s">
        <v>55</v>
      </c>
      <c r="D13" s="12">
        <f>'Stavební rozpočet'!H19</f>
        <v>0</v>
      </c>
      <c r="E13" s="12">
        <f>'Stavební rozpočet'!I19</f>
        <v>0</v>
      </c>
      <c r="F13" s="12">
        <f t="shared" si="0"/>
        <v>0</v>
      </c>
      <c r="G13" s="12">
        <v>12.27279</v>
      </c>
      <c r="H13" s="12" t="s">
        <v>110</v>
      </c>
      <c r="I13" s="12">
        <f t="shared" si="1"/>
        <v>0</v>
      </c>
    </row>
    <row r="14" spans="1:9" ht="12.75">
      <c r="A14" s="5" t="s">
        <v>29</v>
      </c>
      <c r="B14" s="5" t="s">
        <v>27</v>
      </c>
      <c r="C14" s="5" t="s">
        <v>58</v>
      </c>
      <c r="D14" s="12">
        <f>'Stavební rozpočet'!H22</f>
        <v>0</v>
      </c>
      <c r="E14" s="12">
        <f>'Stavební rozpočet'!I22</f>
        <v>0</v>
      </c>
      <c r="F14" s="12">
        <f t="shared" si="0"/>
        <v>0</v>
      </c>
      <c r="G14" s="12">
        <v>6.31152</v>
      </c>
      <c r="H14" s="12" t="s">
        <v>110</v>
      </c>
      <c r="I14" s="12">
        <f t="shared" si="1"/>
        <v>0</v>
      </c>
    </row>
    <row r="15" spans="1:9" ht="12.75">
      <c r="A15" s="5" t="s">
        <v>29</v>
      </c>
      <c r="B15" s="5" t="s">
        <v>39</v>
      </c>
      <c r="C15" s="5" t="s">
        <v>60</v>
      </c>
      <c r="D15" s="12">
        <f>'Stavební rozpočet'!H24</f>
        <v>0</v>
      </c>
      <c r="E15" s="12">
        <f>'Stavební rozpočet'!I24</f>
        <v>0</v>
      </c>
      <c r="F15" s="12">
        <f t="shared" si="0"/>
        <v>0</v>
      </c>
      <c r="G15" s="12">
        <v>1.7193</v>
      </c>
      <c r="H15" s="12" t="s">
        <v>110</v>
      </c>
      <c r="I15" s="12">
        <f t="shared" si="1"/>
        <v>0</v>
      </c>
    </row>
    <row r="16" spans="1:9" ht="12.75">
      <c r="A16" s="5" t="s">
        <v>29</v>
      </c>
      <c r="B16" s="5" t="s">
        <v>45</v>
      </c>
      <c r="C16" s="5" t="s">
        <v>63</v>
      </c>
      <c r="D16" s="12">
        <f>'Stavební rozpočet'!H35</f>
        <v>0</v>
      </c>
      <c r="E16" s="12">
        <f>'Stavební rozpočet'!I35</f>
        <v>0</v>
      </c>
      <c r="F16" s="12">
        <f t="shared" si="0"/>
        <v>0</v>
      </c>
      <c r="G16" s="12">
        <v>0</v>
      </c>
      <c r="H16" s="12" t="s">
        <v>110</v>
      </c>
      <c r="I16" s="12">
        <f t="shared" si="1"/>
        <v>0</v>
      </c>
    </row>
    <row r="18" spans="5:6" ht="12.75">
      <c r="E18" s="33" t="s">
        <v>81</v>
      </c>
      <c r="F18" s="26">
        <f>SUM(F12:F16)</f>
        <v>0</v>
      </c>
    </row>
  </sheetData>
  <sheetProtection/>
  <mergeCells count="17">
    <mergeCell ref="A1:F1"/>
    <mergeCell ref="A2:A3"/>
    <mergeCell ref="A4:A5"/>
    <mergeCell ref="A6:A7"/>
    <mergeCell ref="D2:D3"/>
    <mergeCell ref="D4:D5"/>
    <mergeCell ref="D6:D7"/>
    <mergeCell ref="E2:G3"/>
    <mergeCell ref="E4:G5"/>
    <mergeCell ref="E6:G7"/>
    <mergeCell ref="E8:G9"/>
    <mergeCell ref="A8:A9"/>
    <mergeCell ref="B2:C3"/>
    <mergeCell ref="B4:C5"/>
    <mergeCell ref="B6:C7"/>
    <mergeCell ref="B8:C9"/>
    <mergeCell ref="D8:D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F27" sqref="F27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105" t="s">
        <v>111</v>
      </c>
      <c r="B1" s="106"/>
      <c r="C1" s="106"/>
      <c r="D1" s="106"/>
      <c r="E1" s="106"/>
      <c r="F1" s="106"/>
      <c r="G1" s="106"/>
      <c r="H1" s="106"/>
      <c r="I1" s="106"/>
    </row>
    <row r="2" spans="1:10" ht="12.75">
      <c r="A2" s="78" t="s">
        <v>1</v>
      </c>
      <c r="B2" s="65"/>
      <c r="C2" s="60" t="s">
        <v>47</v>
      </c>
      <c r="D2" s="61"/>
      <c r="E2" s="64" t="s">
        <v>82</v>
      </c>
      <c r="F2" s="64" t="s">
        <v>87</v>
      </c>
      <c r="G2" s="65"/>
      <c r="H2" s="64" t="s">
        <v>147</v>
      </c>
      <c r="I2" s="100"/>
      <c r="J2" s="20"/>
    </row>
    <row r="3" spans="1:10" ht="12.75">
      <c r="A3" s="79"/>
      <c r="B3" s="66"/>
      <c r="C3" s="75"/>
      <c r="D3" s="75"/>
      <c r="E3" s="66"/>
      <c r="F3" s="66"/>
      <c r="G3" s="66"/>
      <c r="H3" s="66"/>
      <c r="I3" s="71"/>
      <c r="J3" s="20"/>
    </row>
    <row r="4" spans="1:10" ht="12.75">
      <c r="A4" s="73" t="s">
        <v>2</v>
      </c>
      <c r="B4" s="66"/>
      <c r="C4" s="69" t="s">
        <v>154</v>
      </c>
      <c r="D4" s="66"/>
      <c r="E4" s="69" t="s">
        <v>83</v>
      </c>
      <c r="F4" s="69" t="s">
        <v>88</v>
      </c>
      <c r="G4" s="66"/>
      <c r="H4" s="69" t="s">
        <v>147</v>
      </c>
      <c r="I4" s="101"/>
      <c r="J4" s="20"/>
    </row>
    <row r="5" spans="1:10" ht="12.75">
      <c r="A5" s="79"/>
      <c r="B5" s="66"/>
      <c r="C5" s="66"/>
      <c r="D5" s="66"/>
      <c r="E5" s="66"/>
      <c r="F5" s="66"/>
      <c r="G5" s="66"/>
      <c r="H5" s="66"/>
      <c r="I5" s="71"/>
      <c r="J5" s="20"/>
    </row>
    <row r="6" spans="1:10" ht="12.75">
      <c r="A6" s="73" t="s">
        <v>3</v>
      </c>
      <c r="B6" s="66"/>
      <c r="C6" s="69" t="s">
        <v>48</v>
      </c>
      <c r="D6" s="66"/>
      <c r="E6" s="69" t="s">
        <v>84</v>
      </c>
      <c r="F6" s="69" t="s">
        <v>89</v>
      </c>
      <c r="G6" s="66"/>
      <c r="H6" s="69" t="s">
        <v>147</v>
      </c>
      <c r="I6" s="101"/>
      <c r="J6" s="20"/>
    </row>
    <row r="7" spans="1:10" ht="12.75">
      <c r="A7" s="79"/>
      <c r="B7" s="66"/>
      <c r="C7" s="66"/>
      <c r="D7" s="66"/>
      <c r="E7" s="66"/>
      <c r="F7" s="66"/>
      <c r="G7" s="66"/>
      <c r="H7" s="66"/>
      <c r="I7" s="71"/>
      <c r="J7" s="20"/>
    </row>
    <row r="8" spans="1:10" ht="12.75">
      <c r="A8" s="73" t="s">
        <v>66</v>
      </c>
      <c r="B8" s="66"/>
      <c r="C8" s="67"/>
      <c r="D8" s="66"/>
      <c r="E8" s="69" t="s">
        <v>67</v>
      </c>
      <c r="F8" s="66"/>
      <c r="G8" s="66"/>
      <c r="H8" s="69" t="s">
        <v>148</v>
      </c>
      <c r="I8" s="101" t="s">
        <v>25</v>
      </c>
      <c r="J8" s="20"/>
    </row>
    <row r="9" spans="1:10" ht="12.75">
      <c r="A9" s="79"/>
      <c r="B9" s="66"/>
      <c r="C9" s="66"/>
      <c r="D9" s="66"/>
      <c r="E9" s="66"/>
      <c r="F9" s="66"/>
      <c r="G9" s="66"/>
      <c r="H9" s="66"/>
      <c r="I9" s="71"/>
      <c r="J9" s="20"/>
    </row>
    <row r="10" spans="1:10" ht="12.75">
      <c r="A10" s="73" t="s">
        <v>4</v>
      </c>
      <c r="B10" s="66"/>
      <c r="C10" s="69"/>
      <c r="D10" s="66"/>
      <c r="E10" s="69" t="s">
        <v>85</v>
      </c>
      <c r="F10" s="69"/>
      <c r="G10" s="66"/>
      <c r="H10" s="69" t="s">
        <v>149</v>
      </c>
      <c r="I10" s="102">
        <v>41539</v>
      </c>
      <c r="J10" s="20"/>
    </row>
    <row r="11" spans="1:10" ht="12.75">
      <c r="A11" s="104"/>
      <c r="B11" s="99"/>
      <c r="C11" s="99"/>
      <c r="D11" s="99"/>
      <c r="E11" s="99"/>
      <c r="F11" s="99"/>
      <c r="G11" s="99"/>
      <c r="H11" s="99"/>
      <c r="I11" s="103"/>
      <c r="J11" s="20"/>
    </row>
    <row r="12" spans="1:9" ht="23.25" customHeight="1">
      <c r="A12" s="95" t="s">
        <v>112</v>
      </c>
      <c r="B12" s="96"/>
      <c r="C12" s="96"/>
      <c r="D12" s="96"/>
      <c r="E12" s="96"/>
      <c r="F12" s="96"/>
      <c r="G12" s="96"/>
      <c r="H12" s="96"/>
      <c r="I12" s="96"/>
    </row>
    <row r="13" spans="1:10" ht="26.25" customHeight="1">
      <c r="A13" s="36" t="s">
        <v>113</v>
      </c>
      <c r="B13" s="97" t="s">
        <v>125</v>
      </c>
      <c r="C13" s="98"/>
      <c r="D13" s="36" t="s">
        <v>127</v>
      </c>
      <c r="E13" s="97" t="s">
        <v>135</v>
      </c>
      <c r="F13" s="98"/>
      <c r="G13" s="36" t="s">
        <v>136</v>
      </c>
      <c r="H13" s="97" t="s">
        <v>150</v>
      </c>
      <c r="I13" s="98"/>
      <c r="J13" s="20"/>
    </row>
    <row r="14" spans="1:10" ht="15" customHeight="1">
      <c r="A14" s="37" t="s">
        <v>114</v>
      </c>
      <c r="B14" s="42" t="s">
        <v>126</v>
      </c>
      <c r="C14" s="44">
        <f>SUM('Stavební rozpočet'!R12:R36)</f>
        <v>0</v>
      </c>
      <c r="D14" s="91" t="s">
        <v>128</v>
      </c>
      <c r="E14" s="92"/>
      <c r="F14" s="44">
        <v>0</v>
      </c>
      <c r="G14" s="91" t="s">
        <v>137</v>
      </c>
      <c r="H14" s="92"/>
      <c r="I14" s="44">
        <v>0</v>
      </c>
      <c r="J14" s="20"/>
    </row>
    <row r="15" spans="1:10" ht="15" customHeight="1">
      <c r="A15" s="38"/>
      <c r="B15" s="42" t="s">
        <v>86</v>
      </c>
      <c r="C15" s="44">
        <f>SUM('Stavební rozpočet'!S12:S36)</f>
        <v>0</v>
      </c>
      <c r="D15" s="91" t="s">
        <v>129</v>
      </c>
      <c r="E15" s="92"/>
      <c r="F15" s="44">
        <v>0</v>
      </c>
      <c r="G15" s="91" t="s">
        <v>138</v>
      </c>
      <c r="H15" s="92"/>
      <c r="I15" s="44">
        <v>0</v>
      </c>
      <c r="J15" s="20"/>
    </row>
    <row r="16" spans="1:10" ht="15" customHeight="1">
      <c r="A16" s="37" t="s">
        <v>115</v>
      </c>
      <c r="B16" s="42" t="s">
        <v>126</v>
      </c>
      <c r="C16" s="44">
        <f>SUM('Stavební rozpočet'!T12:T36)</f>
        <v>0</v>
      </c>
      <c r="D16" s="91" t="s">
        <v>130</v>
      </c>
      <c r="E16" s="92"/>
      <c r="F16" s="44">
        <v>0</v>
      </c>
      <c r="G16" s="91" t="s">
        <v>139</v>
      </c>
      <c r="H16" s="92"/>
      <c r="I16" s="44">
        <v>0</v>
      </c>
      <c r="J16" s="20"/>
    </row>
    <row r="17" spans="1:10" ht="15" customHeight="1">
      <c r="A17" s="38"/>
      <c r="B17" s="42" t="s">
        <v>86</v>
      </c>
      <c r="C17" s="44">
        <f>SUM('Stavební rozpočet'!U12:U36)</f>
        <v>0</v>
      </c>
      <c r="D17" s="91"/>
      <c r="E17" s="92"/>
      <c r="F17" s="45"/>
      <c r="G17" s="91" t="s">
        <v>140</v>
      </c>
      <c r="H17" s="92"/>
      <c r="I17" s="44">
        <v>0</v>
      </c>
      <c r="J17" s="20"/>
    </row>
    <row r="18" spans="1:10" ht="15" customHeight="1">
      <c r="A18" s="37" t="s">
        <v>116</v>
      </c>
      <c r="B18" s="42" t="s">
        <v>126</v>
      </c>
      <c r="C18" s="44">
        <f>SUM('Stavební rozpočet'!V12:V36)</f>
        <v>0</v>
      </c>
      <c r="D18" s="91"/>
      <c r="E18" s="92"/>
      <c r="F18" s="45"/>
      <c r="G18" s="91" t="s">
        <v>141</v>
      </c>
      <c r="H18" s="92"/>
      <c r="I18" s="44">
        <v>0</v>
      </c>
      <c r="J18" s="20"/>
    </row>
    <row r="19" spans="1:10" ht="15" customHeight="1">
      <c r="A19" s="38"/>
      <c r="B19" s="42" t="s">
        <v>86</v>
      </c>
      <c r="C19" s="44">
        <f>SUM('Stavební rozpočet'!W12:W36)</f>
        <v>0</v>
      </c>
      <c r="D19" s="91"/>
      <c r="E19" s="92"/>
      <c r="F19" s="45"/>
      <c r="G19" s="91" t="s">
        <v>142</v>
      </c>
      <c r="H19" s="92"/>
      <c r="I19" s="44">
        <v>0</v>
      </c>
      <c r="J19" s="20"/>
    </row>
    <row r="20" spans="1:10" ht="15" customHeight="1">
      <c r="A20" s="93" t="s">
        <v>117</v>
      </c>
      <c r="B20" s="94"/>
      <c r="C20" s="44">
        <f>SUM('Stavební rozpočet'!X12:X36)</f>
        <v>0</v>
      </c>
      <c r="D20" s="91"/>
      <c r="E20" s="92"/>
      <c r="F20" s="45"/>
      <c r="G20" s="91"/>
      <c r="H20" s="92"/>
      <c r="I20" s="45"/>
      <c r="J20" s="20"/>
    </row>
    <row r="21" spans="1:10" ht="15" customHeight="1">
      <c r="A21" s="93" t="s">
        <v>118</v>
      </c>
      <c r="B21" s="94"/>
      <c r="C21" s="44">
        <f>SUM('Stavební rozpočet'!P12:P36)</f>
        <v>0</v>
      </c>
      <c r="D21" s="91"/>
      <c r="E21" s="92"/>
      <c r="F21" s="45"/>
      <c r="G21" s="91"/>
      <c r="H21" s="92"/>
      <c r="I21" s="45"/>
      <c r="J21" s="20"/>
    </row>
    <row r="22" spans="1:10" ht="16.5" customHeight="1">
      <c r="A22" s="93" t="s">
        <v>119</v>
      </c>
      <c r="B22" s="94"/>
      <c r="C22" s="44">
        <f>ROUND(SUM(C14:C21),0)</f>
        <v>0</v>
      </c>
      <c r="D22" s="93" t="s">
        <v>131</v>
      </c>
      <c r="E22" s="94"/>
      <c r="F22" s="44">
        <f>SUM(F14:F21)</f>
        <v>0</v>
      </c>
      <c r="G22" s="93" t="s">
        <v>143</v>
      </c>
      <c r="H22" s="94"/>
      <c r="I22" s="44">
        <f>SUM(I14:I21)</f>
        <v>0</v>
      </c>
      <c r="J22" s="20"/>
    </row>
    <row r="23" spans="1:9" ht="12.75">
      <c r="A23" s="39"/>
      <c r="B23" s="39"/>
      <c r="C23" s="39"/>
      <c r="D23" s="6"/>
      <c r="E23" s="6"/>
      <c r="F23" s="6"/>
      <c r="G23" s="6"/>
      <c r="H23" s="6"/>
      <c r="I23" s="6"/>
    </row>
    <row r="24" spans="1:9" ht="15" customHeight="1">
      <c r="A24" s="89" t="s">
        <v>120</v>
      </c>
      <c r="B24" s="90"/>
      <c r="C24" s="46">
        <f>SUM('Stavební rozpočet'!Z12:Z36)</f>
        <v>0</v>
      </c>
      <c r="D24" s="43"/>
      <c r="E24" s="34"/>
      <c r="F24" s="34"/>
      <c r="G24" s="34"/>
      <c r="H24" s="34"/>
      <c r="I24" s="34"/>
    </row>
    <row r="25" spans="1:10" ht="15" customHeight="1">
      <c r="A25" s="89" t="s">
        <v>121</v>
      </c>
      <c r="B25" s="90"/>
      <c r="C25" s="46">
        <f>SUM('Stavební rozpočet'!AA12:AA36)</f>
        <v>0</v>
      </c>
      <c r="D25" s="89" t="s">
        <v>132</v>
      </c>
      <c r="E25" s="90"/>
      <c r="F25" s="46">
        <f>ROUND(C25*(14/100),2)</f>
        <v>0</v>
      </c>
      <c r="G25" s="89" t="s">
        <v>144</v>
      </c>
      <c r="H25" s="90"/>
      <c r="I25" s="46">
        <f>SUM(C24:C26)</f>
        <v>0</v>
      </c>
      <c r="J25" s="20"/>
    </row>
    <row r="26" spans="1:10" ht="15" customHeight="1">
      <c r="A26" s="89" t="s">
        <v>122</v>
      </c>
      <c r="B26" s="90"/>
      <c r="C26" s="46">
        <f>C22+F22+I22</f>
        <v>0</v>
      </c>
      <c r="D26" s="89" t="s">
        <v>133</v>
      </c>
      <c r="E26" s="90"/>
      <c r="F26" s="46">
        <f>ROUND(C26*(20/100),0)</f>
        <v>0</v>
      </c>
      <c r="G26" s="89" t="s">
        <v>145</v>
      </c>
      <c r="H26" s="90"/>
      <c r="I26" s="46">
        <f>SUM(F25:F26)+I25</f>
        <v>0</v>
      </c>
      <c r="J26" s="2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10" ht="14.25" customHeight="1">
      <c r="A28" s="83" t="s">
        <v>123</v>
      </c>
      <c r="B28" s="84"/>
      <c r="C28" s="85"/>
      <c r="D28" s="83" t="s">
        <v>134</v>
      </c>
      <c r="E28" s="84"/>
      <c r="F28" s="85"/>
      <c r="G28" s="83" t="s">
        <v>146</v>
      </c>
      <c r="H28" s="84"/>
      <c r="I28" s="85"/>
      <c r="J28" s="21"/>
    </row>
    <row r="29" spans="1:10" ht="14.25" customHeight="1">
      <c r="A29" s="86"/>
      <c r="B29" s="87"/>
      <c r="C29" s="88"/>
      <c r="D29" s="86"/>
      <c r="E29" s="87"/>
      <c r="F29" s="88"/>
      <c r="G29" s="86"/>
      <c r="H29" s="87"/>
      <c r="I29" s="88"/>
      <c r="J29" s="21"/>
    </row>
    <row r="30" spans="1:10" ht="14.25" customHeight="1">
      <c r="A30" s="86"/>
      <c r="B30" s="87"/>
      <c r="C30" s="88"/>
      <c r="D30" s="86"/>
      <c r="E30" s="87"/>
      <c r="F30" s="88"/>
      <c r="G30" s="86"/>
      <c r="H30" s="87"/>
      <c r="I30" s="88"/>
      <c r="J30" s="21"/>
    </row>
    <row r="31" spans="1:10" ht="14.25" customHeight="1">
      <c r="A31" s="86"/>
      <c r="B31" s="87"/>
      <c r="C31" s="88"/>
      <c r="D31" s="86"/>
      <c r="E31" s="87"/>
      <c r="F31" s="88"/>
      <c r="G31" s="86"/>
      <c r="H31" s="87"/>
      <c r="I31" s="88"/>
      <c r="J31" s="21"/>
    </row>
    <row r="32" spans="1:10" ht="14.25" customHeight="1">
      <c r="A32" s="80" t="s">
        <v>124</v>
      </c>
      <c r="B32" s="81"/>
      <c r="C32" s="82"/>
      <c r="D32" s="80" t="s">
        <v>124</v>
      </c>
      <c r="E32" s="81"/>
      <c r="F32" s="82"/>
      <c r="G32" s="80" t="s">
        <v>124</v>
      </c>
      <c r="H32" s="81"/>
      <c r="I32" s="82"/>
      <c r="J32" s="2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Jáchim</dc:creator>
  <cp:keywords/>
  <dc:description/>
  <cp:lastModifiedBy>Milan Jáchim</cp:lastModifiedBy>
  <cp:lastPrinted>2012-11-07T19:31:01Z</cp:lastPrinted>
  <dcterms:created xsi:type="dcterms:W3CDTF">2012-11-07T19:16:33Z</dcterms:created>
  <dcterms:modified xsi:type="dcterms:W3CDTF">2013-10-21T12:49:19Z</dcterms:modified>
  <cp:category/>
  <cp:version/>
  <cp:contentType/>
  <cp:contentStatus/>
</cp:coreProperties>
</file>