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<sst xmlns="http://schemas.openxmlformats.org/spreadsheetml/2006/main" count="1049" uniqueCount="384">
  <si>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</si>
  <si>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</si>
  <si>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</si>
  <si>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</si>
  <si>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</si>
  <si>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</si>
  <si>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</si>
  <si>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</si>
  <si>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</si>
  <si>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</si>
  <si>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</si>
  <si>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</si>
  <si>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</si>
  <si>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</si>
  <si>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</si>
  <si>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</si>
  <si>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</si>
  <si>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</si>
  <si>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</si>
  <si>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</si>
  <si>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</si>
  <si>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</si>
  <si>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</si>
  <si>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</si>
  <si>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</si>
  <si>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</si>
  <si>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</si>
  <si>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</si>
  <si>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</si>
  <si>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</si>
  <si>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</si>
  <si>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</si>
  <si>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</si>
  <si>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</si>
  <si>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</si>
  <si>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</si>
  <si>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</si>
  <si>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</si>
  <si>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</si>
  <si>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</si>
  <si>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</si>
  <si>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</si>
  <si>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</si>
  <si>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</si>
  <si>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</si>
  <si>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</si>
  <si>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</si>
  <si>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</si>
  <si>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</si>
  <si>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</si>
  <si>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</si>
  <si>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</si>
  <si>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</si>
  <si>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</si>
  <si>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</si>
  <si>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</si>
  <si>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</si>
  <si>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</si>
  <si>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</si>
  <si>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</si>
  <si>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</si>
  <si>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</si>
  <si>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</si>
  <si>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</si>
  <si>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</si>
  <si>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</si>
  <si>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</si>
  <si>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</si>
  <si>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</si>
  <si>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</si>
  <si>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</si>
  <si>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</si>
  <si>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</si>
  <si>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</si>
  <si>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</si>
  <si>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</si>
  <si>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</si>
  <si>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</si>
  <si>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</si>
  <si>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</si>
  <si>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</si>
  <si>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</si>
  <si>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</si>
  <si>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</si>
  <si>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</si>
  <si>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</si>
  <si>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</si>
  <si>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</si>
  <si>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Objekt</t>
  </si>
  <si>
    <t>Kód</t>
  </si>
  <si>
    <t>611481111R00</t>
  </si>
  <si>
    <t>611422133R00</t>
  </si>
  <si>
    <t>94</t>
  </si>
  <si>
    <t>941941031R00</t>
  </si>
  <si>
    <t>941941191R00</t>
  </si>
  <si>
    <t>941941831R00</t>
  </si>
  <si>
    <t>941955002R00</t>
  </si>
  <si>
    <t>943944121R00</t>
  </si>
  <si>
    <t>943944291R00</t>
  </si>
  <si>
    <t>943944821R00</t>
  </si>
  <si>
    <t>95</t>
  </si>
  <si>
    <t>952901114R00</t>
  </si>
  <si>
    <t>95001VD</t>
  </si>
  <si>
    <t>97</t>
  </si>
  <si>
    <t>978100020RA0</t>
  </si>
  <si>
    <t>979082111R00</t>
  </si>
  <si>
    <t>979082121R00</t>
  </si>
  <si>
    <t>979081111R00</t>
  </si>
  <si>
    <t>979081121R00</t>
  </si>
  <si>
    <t>979086112R00</t>
  </si>
  <si>
    <t>979990001R00</t>
  </si>
  <si>
    <t>H99</t>
  </si>
  <si>
    <t>999281111R00</t>
  </si>
  <si>
    <t>762</t>
  </si>
  <si>
    <t>762342811R00</t>
  </si>
  <si>
    <t>762342204R00</t>
  </si>
  <si>
    <t>765799212R00</t>
  </si>
  <si>
    <t>60510055</t>
  </si>
  <si>
    <t>783782205R00</t>
  </si>
  <si>
    <t>76201VD</t>
  </si>
  <si>
    <t>998762102R00</t>
  </si>
  <si>
    <t>979013112R00</t>
  </si>
  <si>
    <t>979013119R00</t>
  </si>
  <si>
    <t>764</t>
  </si>
  <si>
    <t>764351838R00</t>
  </si>
  <si>
    <t>764352842R00</t>
  </si>
  <si>
    <t>764454802R00</t>
  </si>
  <si>
    <t>764410850R00</t>
  </si>
  <si>
    <t>764430840R00</t>
  </si>
  <si>
    <t>764391822R00</t>
  </si>
  <si>
    <t>764331852R00</t>
  </si>
  <si>
    <t>764252292R00</t>
  </si>
  <si>
    <t>764252291R00</t>
  </si>
  <si>
    <t>764554291R00</t>
  </si>
  <si>
    <t>764510250RT2</t>
  </si>
  <si>
    <t>764530220RT2</t>
  </si>
  <si>
    <t>764291220R00</t>
  </si>
  <si>
    <t>764230010RAD</t>
  </si>
  <si>
    <t>998764101R00</t>
  </si>
  <si>
    <t>765</t>
  </si>
  <si>
    <t>765311810R00</t>
  </si>
  <si>
    <t>765318866R00</t>
  </si>
  <si>
    <t>765799311R00</t>
  </si>
  <si>
    <t>67352317.A</t>
  </si>
  <si>
    <t>765311591R00</t>
  </si>
  <si>
    <t>998765102R00</t>
  </si>
  <si>
    <t>766</t>
  </si>
  <si>
    <t>76601VD</t>
  </si>
  <si>
    <t>76602VD</t>
  </si>
  <si>
    <t>76603VD</t>
  </si>
  <si>
    <t>783</t>
  </si>
  <si>
    <t>783601811R00</t>
  </si>
  <si>
    <t>783601813R00</t>
  </si>
  <si>
    <t>783602821R00</t>
  </si>
  <si>
    <t>783602823R00</t>
  </si>
  <si>
    <t>783624200R00</t>
  </si>
  <si>
    <t>783626027R00</t>
  </si>
  <si>
    <t>783626021R00</t>
  </si>
  <si>
    <t>784</t>
  </si>
  <si>
    <t>784423273R00</t>
  </si>
  <si>
    <t>784402803R00</t>
  </si>
  <si>
    <t>Stavební úpravy stávající kaple</t>
  </si>
  <si>
    <t>Stavební úpravy</t>
  </si>
  <si>
    <t>obec Branná, par.č.st.73</t>
  </si>
  <si>
    <t>Zkrácený popis</t>
  </si>
  <si>
    <t>Úprava povrchů vnitřní</t>
  </si>
  <si>
    <t>Potažení stropů rabicovým pletivem s vypnutím</t>
  </si>
  <si>
    <t>Omítka vnitřní kleneb, skořepin, MVC, štuková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</si>
  <si>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</si>
  <si>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</si>
  <si>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</si>
  <si>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</si>
  <si>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</si>
  <si>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Montáž lešení prostorového těžkého, H 20 m, 300 kg</t>
  </si>
  <si>
    <t>Příplatek za každý měsíc použití lešení k pol.4121</t>
  </si>
  <si>
    <t>Demontáž lešení prostorov.těžkého, H 20 m, 300 kg</t>
  </si>
  <si>
    <t>Různé dokončovací konstrukce a práce na pozemních stavbách</t>
  </si>
  <si>
    <t>Vyčištění budov o výšce podlaží nad 4 m</t>
  </si>
  <si>
    <t>Rezerva  nezaměřených prací (přikotvení stáv. bednění podhledu)</t>
  </si>
  <si>
    <t>Prorážení otvorů a ostatní bourací práce</t>
  </si>
  <si>
    <t>Otlučení vnitřních omítek stropů vápen.rákos.100 %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</si>
  <si>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</si>
  <si>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</si>
  <si>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</si>
  <si>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</si>
  <si>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Nakládání nebo překládání suti a vybouraných hmot</t>
  </si>
  <si>
    <t>Poplatek za skládku stavební suti</t>
  </si>
  <si>
    <t>Ostatní přesuny hmot</t>
  </si>
  <si>
    <t>Přesun hmot pro opravy a údržbu do výšky 25 m</t>
  </si>
  <si>
    <t>Konstrukce tesařské</t>
  </si>
  <si>
    <t>Demontáž laťování střech, rozteč latí do 22 cm</t>
  </si>
  <si>
    <t>Montáž laťování střech, svislé, vzdálenost 100 cm</t>
  </si>
  <si>
    <t>Montáž laťování rozteč latí do 22mm nad 10 m2</t>
  </si>
  <si>
    <t>Lať profil dřevěný 60/40 mm l = 3 m a výše</t>
  </si>
  <si>
    <t>Nátěr tesařských konstrukcí Bochemitem QB 2x</t>
  </si>
  <si>
    <t>Oprava a výměna tesařských konstrukcí krovu střechy - ODHAD</t>
  </si>
  <si>
    <t>Přesun hmot pro tesařské konstrukce, výšky do 12 m</t>
  </si>
  <si>
    <t>Svislá doprava vybouraných hmot na H do 3,5 m</t>
  </si>
  <si>
    <t>Příplatek k hmotám za každých dalších 3,5 m výšky</t>
  </si>
  <si>
    <t>Konstrukce klempířské</t>
  </si>
  <si>
    <t>Demontáž háků, sklon nad 45°</t>
  </si>
  <si>
    <t>Demontáž žlabů půlkruh. oblouk. rš 330 mm, nad 45°</t>
  </si>
  <si>
    <t>Demontáž odpadních trub kruhových,D 120 mm</t>
  </si>
  <si>
    <t>Demontáž oplechování parapetů,rš od 100 do 330 mm</t>
  </si>
  <si>
    <t>Demontáž oplechování zdí,rš od 330 do 500 mm</t>
  </si>
  <si>
    <t>Demontáž závětrné lišty, rš 250 a 330 mm, nad 45°</t>
  </si>
  <si>
    <t>Demontáž lemování zdí, rš 400 a 500 mm, nad 45°</t>
  </si>
  <si>
    <t>Montáž háků z Cu půlkruhových - ZPĚTNÁ MONTÁŽ</t>
  </si>
  <si>
    <t>Montáž žlabů z Cu podokapních půlkruhových - ZPĚTNÁ MONTÁŽ</t>
  </si>
  <si>
    <t>Montáž trub Cu odpadních kruhových - ZPĚTNÁ MONTÁŽ</t>
  </si>
  <si>
    <t>Oplechování parapetů včetně rohů z Cu, rš 330 mm</t>
  </si>
  <si>
    <t>Oplechování zdí z Cu plechu, rš 330 mm</t>
  </si>
  <si>
    <t>Závětrná lišta z Cu plechu, rš 330 mm</t>
  </si>
  <si>
    <t>Lemování zdí z Cu plechu rš 400 mm</t>
  </si>
  <si>
    <t>Přesun hmot pro klempířské konstr., výšky do 6 m</t>
  </si>
  <si>
    <t>Krytina tvrdá</t>
  </si>
  <si>
    <t>Demontáž krytiny bobrovky na sucho, do suti</t>
  </si>
  <si>
    <t>Demontáž hřebene a nároží z prejzů, zvětralá malta, do suti</t>
  </si>
  <si>
    <t>Montáž fólie na krokve přibitím s přelepením spojů</t>
  </si>
  <si>
    <t>Fólie Jutafol D140 speciál  podstřešní difúzní</t>
  </si>
  <si>
    <t>Přesun hmot pro krytiny tvrdé, výšky do 12 m</t>
  </si>
  <si>
    <t>Konstrukce truhlářské</t>
  </si>
  <si>
    <t>Dodávka a montáž dřevěného vnitřního schodiště</t>
  </si>
  <si>
    <t>Dodávka a montáž dřevěných žaluzií zvonice 80x120 cm</t>
  </si>
  <si>
    <t>Oprava oken a dveří - POSOUZENÍ PŘI PROHLÍDCE STAVBY</t>
  </si>
  <si>
    <t>Nátěry</t>
  </si>
  <si>
    <t>Odstranění nátěrů truhlářských, oken oškrábáním</t>
  </si>
  <si>
    <t>Odstranění nátěrů truhlářských, dveří oškrábáním</t>
  </si>
  <si>
    <t>Odstranění nátěrů truhlářských, oken opálením</t>
  </si>
  <si>
    <t>Odstranění nátěrů truhlářských, dveří opálením</t>
  </si>
  <si>
    <t>Nátěr synt. truhl. výrobků 2x + 1x email + 1x tmel</t>
  </si>
  <si>
    <t>Nátěr syntetický truhl. výrobků základní - ŽALUZIE ZVONICE</t>
  </si>
  <si>
    <t>Nátěr syntetický truhl. výrobků 2x email - ŽALUZIE ZVONICE</t>
  </si>
  <si>
    <t>Malby</t>
  </si>
  <si>
    <t>Malba váp.2x, 1bar+strop, pačok 2x, místn. do 8 m</t>
  </si>
  <si>
    <t>Odstranění malby oškrábáním v místnosti H do 8 m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</si>
  <si>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</si>
  <si>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</si>
  <si>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</si>
  <si>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</si>
  <si>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</si>
  <si>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</si>
  <si>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</si>
  <si>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hod</t>
  </si>
  <si>
    <t>t</t>
  </si>
  <si>
    <t>m</t>
  </si>
  <si>
    <t>kus</t>
  </si>
  <si>
    <t>kpl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</si>
  <si>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</si>
  <si>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</si>
  <si>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</si>
  <si>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</si>
  <si>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</si>
  <si>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</si>
  <si>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</si>
  <si>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</si>
  <si>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</si>
  <si>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</si>
  <si>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</si>
  <si>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</si>
  <si>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Třeboň</t>
  </si>
  <si>
    <t>JK-Stavprojekt</t>
  </si>
  <si>
    <t>určen výběrovým řízením</t>
  </si>
  <si>
    <t>Celkem</t>
  </si>
  <si>
    <t>Hmotnost (t)</t>
  </si>
  <si>
    <t>0</t>
  </si>
  <si>
    <t>Přesuny</t>
  </si>
  <si>
    <t>Typ skupiny</t>
  </si>
  <si>
    <t>HS</t>
  </si>
  <si>
    <t>PR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</si>
  <si>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</si>
  <si>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</si>
  <si>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</si>
  <si>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</si>
  <si>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</si>
  <si>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</si>
  <si>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</si>
  <si>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</si>
  <si>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</si>
  <si>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</si>
  <si>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</si>
  <si>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</si>
  <si>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</si>
  <si>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</si>
  <si>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</si>
  <si>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</si>
  <si>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9.38*6.84+1.6*5.04</t>
  </si>
  <si>
    <t>(10.79+2.96+2.84+3.01+10.78+2.12+2.08)*4.365+2.89*4*11</t>
  </si>
  <si>
    <t>278.1</t>
  </si>
  <si>
    <t>1.65+3.92*1.6</t>
  </si>
  <si>
    <t>9.4*5.72*4.02</t>
  </si>
  <si>
    <t>1.65+62.95</t>
  </si>
  <si>
    <t>3.611</t>
  </si>
  <si>
    <t>3.611*2</t>
  </si>
  <si>
    <t>3.611*10</t>
  </si>
  <si>
    <t>3.747+9.311+13.614+0.018+0.084</t>
  </si>
  <si>
    <t>10.19*5.35+10.19*5.48+1.52*5.24+1.58*5.24+1.605*5.24</t>
  </si>
  <si>
    <t>135.01*6.25+20*5.5+10*5.5</t>
  </si>
  <si>
    <t>1008.81*0.2</t>
  </si>
  <si>
    <t>3.413-0.945</t>
  </si>
  <si>
    <t>0.945+2*0.55</t>
  </si>
  <si>
    <t>2.05*2</t>
  </si>
  <si>
    <t>2.05</t>
  </si>
  <si>
    <t>2.05*10</t>
  </si>
  <si>
    <t>20+10</t>
  </si>
  <si>
    <t>11+3.21+3.045+3.16+10.91</t>
  </si>
  <si>
    <t>2*3.95</t>
  </si>
  <si>
    <t>1.27+1.29+1.01+1.01+1.26+1.26</t>
  </si>
  <si>
    <t>1.6+1.52</t>
  </si>
  <si>
    <t>3.6*2</t>
  </si>
  <si>
    <t>0.8*2+1.8*2</t>
  </si>
  <si>
    <t>0.001+0.001+0.021+0.009+0.022+0.031</t>
  </si>
  <si>
    <t>0.29-0.09</t>
  </si>
  <si>
    <t>0.2</t>
  </si>
  <si>
    <t>0.2*10</t>
  </si>
  <si>
    <t>8.67+5.57+5.56+5.54+5.61</t>
  </si>
  <si>
    <t>135.01</t>
  </si>
  <si>
    <t>;ztratné 10%; 13.501</t>
  </si>
  <si>
    <t>8.67</t>
  </si>
  <si>
    <t>5.57+5.56+5.54+5.61</t>
  </si>
  <si>
    <t>5.35+5.48+5.57*2+5.56*2+5.54*2+5.61*2</t>
  </si>
  <si>
    <t>22.068-10.28</t>
  </si>
  <si>
    <t>9.045+1.238</t>
  </si>
  <si>
    <t>10.283*2</t>
  </si>
  <si>
    <t>10.283</t>
  </si>
  <si>
    <t>10.283*10</t>
  </si>
  <si>
    <t>(0.87*1.67*3+0.89*1.67+0.58*1.51*2)*2</t>
  </si>
  <si>
    <t>1.23*2.26*2</t>
  </si>
  <si>
    <t>(1.23*2.26+0.87*1.67*3+0.89*1.67+0.58*1.51*2)*2</t>
  </si>
  <si>
    <t>0.8*1.2*4*2</t>
  </si>
  <si>
    <t>(9.38+9.34+5.69+5.69)*4.02+(1.16*2+1.43*2)*2.84+(5+1.68+2.485+1.62)*2.45</t>
  </si>
  <si>
    <t>-3.8*2.45-3.8*3.13-1.24*2.22*2-1.2*1.97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</si>
  <si>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</si>
  <si>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</si>
  <si>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</si>
  <si>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</si>
  <si>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</si>
  <si>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</si>
  <si>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</si>
  <si>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</si>
  <si>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</si>
  <si>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</si>
  <si>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</si>
  <si>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</si>
  <si>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</si>
  <si>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</si>
  <si>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</si>
  <si>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</si>
  <si>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</si>
  <si>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</si>
  <si>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</si>
  <si>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</si>
  <si>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</si>
  <si>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</si>
  <si>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</si>
  <si>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</si>
  <si>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</si>
  <si>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</si>
  <si>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</si>
  <si>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</si>
  <si>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</si>
  <si>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</si>
  <si>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</si>
  <si>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</si>
  <si>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</si>
  <si>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</si>
  <si>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</si>
  <si>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</si>
  <si>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</si>
  <si>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</si>
  <si>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</si>
  <si>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</si>
  <si>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765311521R00</t>
  </si>
  <si>
    <t xml:space="preserve">Bobrovka - příplatek za sklon přes 45 do 60° </t>
  </si>
  <si>
    <t>765311533R00</t>
  </si>
  <si>
    <t xml:space="preserve">Hřeben bobrovka, hřebenáči č.1 nos. pás UNI 2000 </t>
  </si>
  <si>
    <t>765311543R00</t>
  </si>
  <si>
    <t xml:space="preserve">Nároží bobrovka, hřebenáči č.1 nos. pás UNI 2000 </t>
  </si>
  <si>
    <t>765311583R00</t>
  </si>
  <si>
    <t>Bobrovka -  přiřezání a uchycení tašek</t>
  </si>
  <si>
    <t>783001</t>
  </si>
  <si>
    <t>Ošetření stáv. oken nátěrem na likvidaci a prevenci proti dřevokaznému hmyzu</t>
  </si>
  <si>
    <t>82</t>
  </si>
  <si>
    <t xml:space="preserve">Krytina keramická z bobrovek střech slož.,šupinová, na sucho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</si>
</sst>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d\.mmmm\.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171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" fontId="7" fillId="33" borderId="33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 wrapText="1"/>
      <protection/>
    </xf>
    <xf numFmtId="4" fontId="1" fillId="34" borderId="0" xfId="0" applyNumberFormat="1" applyFont="1" applyFill="1" applyBorder="1" applyAlignment="1" applyProtection="1">
      <alignment horizontal="right" vertical="center" wrapText="1"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4" fontId="1" fillId="34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PageLayoutView="0" workbookViewId="0" topLeftCell="A70">
      <selection activeCell="D104" sqref="D10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5.710937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2.75">
      <c r="A2" s="78" t="s">
        <v>1</v>
      </c>
      <c r="B2" s="65"/>
      <c r="C2" s="65"/>
      <c r="D2" s="57" t="s">
        <v>161</v>
      </c>
      <c r="E2" s="64" t="s">
        <v>236</v>
      </c>
      <c r="F2" s="65"/>
      <c r="G2" s="64"/>
      <c r="H2" s="65"/>
      <c r="I2" s="64" t="s">
        <v>255</v>
      </c>
      <c r="J2" s="64" t="s">
        <v>260</v>
      </c>
      <c r="K2" s="65"/>
      <c r="L2" s="66"/>
      <c r="M2" s="22"/>
    </row>
    <row r="3" spans="1:13" ht="12.75">
      <c r="A3" s="79"/>
      <c r="B3" s="63"/>
      <c r="C3" s="63"/>
      <c r="D3" s="74"/>
      <c r="E3" s="63"/>
      <c r="F3" s="63"/>
      <c r="G3" s="63"/>
      <c r="H3" s="63"/>
      <c r="I3" s="63"/>
      <c r="J3" s="63"/>
      <c r="K3" s="63"/>
      <c r="L3" s="67"/>
      <c r="M3" s="22"/>
    </row>
    <row r="4" spans="1:13" ht="12.75">
      <c r="A4" s="72" t="s">
        <v>2</v>
      </c>
      <c r="B4" s="63"/>
      <c r="C4" s="63"/>
      <c r="D4" s="61" t="s">
        <v>162</v>
      </c>
      <c r="E4" s="61" t="s">
        <v>237</v>
      </c>
      <c r="F4" s="63"/>
      <c r="G4" s="75"/>
      <c r="H4" s="63"/>
      <c r="I4" s="61" t="s">
        <v>256</v>
      </c>
      <c r="J4" s="61" t="s">
        <v>261</v>
      </c>
      <c r="K4" s="63"/>
      <c r="L4" s="67"/>
      <c r="M4" s="22"/>
    </row>
    <row r="5" spans="1:13" ht="12.75">
      <c r="A5" s="79"/>
      <c r="B5" s="63"/>
      <c r="C5" s="63"/>
      <c r="D5" s="63"/>
      <c r="E5" s="63"/>
      <c r="F5" s="63"/>
      <c r="G5" s="63"/>
      <c r="H5" s="63"/>
      <c r="I5" s="63"/>
      <c r="J5" s="63"/>
      <c r="K5" s="63"/>
      <c r="L5" s="67"/>
      <c r="M5" s="22"/>
    </row>
    <row r="6" spans="1:13" ht="12.75">
      <c r="A6" s="72" t="s">
        <v>3</v>
      </c>
      <c r="B6" s="63"/>
      <c r="C6" s="63"/>
      <c r="D6" s="61" t="s">
        <v>163</v>
      </c>
      <c r="E6" s="61" t="s">
        <v>238</v>
      </c>
      <c r="F6" s="63"/>
      <c r="G6" s="63"/>
      <c r="H6" s="63"/>
      <c r="I6" s="61" t="s">
        <v>257</v>
      </c>
      <c r="J6" s="61" t="s">
        <v>262</v>
      </c>
      <c r="K6" s="63"/>
      <c r="L6" s="67"/>
      <c r="M6" s="22"/>
    </row>
    <row r="7" spans="1:13" ht="12.75">
      <c r="A7" s="79"/>
      <c r="B7" s="63"/>
      <c r="C7" s="63"/>
      <c r="D7" s="63"/>
      <c r="E7" s="63"/>
      <c r="F7" s="63"/>
      <c r="G7" s="63"/>
      <c r="H7" s="63"/>
      <c r="I7" s="63"/>
      <c r="J7" s="63"/>
      <c r="K7" s="63"/>
      <c r="L7" s="67"/>
      <c r="M7" s="22"/>
    </row>
    <row r="8" spans="1:13" ht="12.75">
      <c r="A8" s="72" t="s">
        <v>4</v>
      </c>
      <c r="B8" s="63"/>
      <c r="C8" s="63"/>
      <c r="D8" s="61"/>
      <c r="E8" s="61" t="s">
        <v>239</v>
      </c>
      <c r="F8" s="63"/>
      <c r="G8" s="75">
        <v>41383</v>
      </c>
      <c r="H8" s="63"/>
      <c r="I8" s="61" t="s">
        <v>258</v>
      </c>
      <c r="J8" s="61"/>
      <c r="K8" s="63"/>
      <c r="L8" s="67"/>
      <c r="M8" s="22"/>
    </row>
    <row r="9" spans="1:13" ht="12.75">
      <c r="A9" s="73"/>
      <c r="B9" s="62"/>
      <c r="C9" s="62"/>
      <c r="D9" s="62"/>
      <c r="E9" s="62"/>
      <c r="F9" s="62"/>
      <c r="G9" s="62"/>
      <c r="H9" s="62"/>
      <c r="I9" s="62"/>
      <c r="J9" s="62"/>
      <c r="K9" s="62"/>
      <c r="L9" s="68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250</v>
      </c>
      <c r="H10" s="69" t="s">
        <v>252</v>
      </c>
      <c r="I10" s="70"/>
      <c r="J10" s="71"/>
      <c r="K10" s="69" t="s">
        <v>264</v>
      </c>
      <c r="L10" s="71"/>
      <c r="M10" s="23"/>
    </row>
    <row r="11" spans="1:24" ht="12.75">
      <c r="A11" s="2" t="s">
        <v>6</v>
      </c>
      <c r="B11" s="9" t="s">
        <v>88</v>
      </c>
      <c r="C11" s="9" t="s">
        <v>89</v>
      </c>
      <c r="D11" s="9" t="s">
        <v>164</v>
      </c>
      <c r="E11" s="9" t="s">
        <v>240</v>
      </c>
      <c r="F11" s="12" t="s">
        <v>249</v>
      </c>
      <c r="G11" s="16" t="s">
        <v>251</v>
      </c>
      <c r="H11" s="17" t="s">
        <v>253</v>
      </c>
      <c r="I11" s="18" t="s">
        <v>259</v>
      </c>
      <c r="J11" s="19" t="s">
        <v>263</v>
      </c>
      <c r="K11" s="17" t="s">
        <v>250</v>
      </c>
      <c r="L11" s="19" t="s">
        <v>263</v>
      </c>
      <c r="M11" s="23"/>
      <c r="P11" s="21" t="s">
        <v>266</v>
      </c>
      <c r="Q11" s="21" t="s">
        <v>267</v>
      </c>
      <c r="R11" s="21" t="s">
        <v>271</v>
      </c>
      <c r="S11" s="21" t="s">
        <v>272</v>
      </c>
      <c r="T11" s="21" t="s">
        <v>273</v>
      </c>
      <c r="U11" s="21" t="s">
        <v>274</v>
      </c>
      <c r="V11" s="21" t="s">
        <v>275</v>
      </c>
      <c r="W11" s="21" t="s">
        <v>276</v>
      </c>
      <c r="X11" s="21" t="s">
        <v>277</v>
      </c>
    </row>
    <row r="12" spans="1:37" ht="12.75">
      <c r="A12" s="3"/>
      <c r="B12" s="3"/>
      <c r="C12" s="10" t="s">
        <v>67</v>
      </c>
      <c r="D12" s="59" t="s">
        <v>165</v>
      </c>
      <c r="E12" s="60"/>
      <c r="F12" s="60"/>
      <c r="G12" s="60"/>
      <c r="H12" s="25">
        <f>SUM(H13:H14)</f>
        <v>0</v>
      </c>
      <c r="I12" s="25">
        <f>SUM(I13:I14)</f>
        <v>0</v>
      </c>
      <c r="J12" s="25">
        <f>H12+I12</f>
        <v>0</v>
      </c>
      <c r="K12" s="20"/>
      <c r="L12" s="25">
        <f>SUM(L13:L14)</f>
        <v>3.7474957999999994</v>
      </c>
      <c r="P12" s="26">
        <f>IF(Q12="PR",J12,SUM(O13:O14))</f>
        <v>0</v>
      </c>
      <c r="Q12" s="21" t="s">
        <v>268</v>
      </c>
      <c r="R12" s="26">
        <f>IF(Q12="HS",H12,0)</f>
        <v>0</v>
      </c>
      <c r="S12" s="26">
        <f>IF(Q12="HS",I12-P12,0)</f>
        <v>0</v>
      </c>
      <c r="T12" s="26">
        <f>IF(Q12="PS",H12,0)</f>
        <v>0</v>
      </c>
      <c r="U12" s="26">
        <f>IF(Q12="PS",I12-P12,0)</f>
        <v>0</v>
      </c>
      <c r="V12" s="26">
        <f>IF(Q12="MP",H12,0)</f>
        <v>0</v>
      </c>
      <c r="W12" s="26">
        <f>IF(Q12="MP",I12-P12,0)</f>
        <v>0</v>
      </c>
      <c r="X12" s="26">
        <f>IF(Q12="OM",H12,0)</f>
        <v>0</v>
      </c>
      <c r="Y12" s="21"/>
      <c r="AI12" s="26">
        <f>SUM(Z13:Z14)</f>
        <v>0</v>
      </c>
      <c r="AJ12" s="26">
        <f>SUM(AA13:AA14)</f>
        <v>0</v>
      </c>
      <c r="AK12" s="26">
        <f>SUM(AB13:AB14)</f>
        <v>0</v>
      </c>
    </row>
    <row r="13" spans="1:32" ht="12.75">
      <c r="A13" s="4" t="s">
        <v>7</v>
      </c>
      <c r="B13" s="4"/>
      <c r="C13" s="4" t="s">
        <v>90</v>
      </c>
      <c r="D13" s="51" t="s">
        <v>166</v>
      </c>
      <c r="E13" s="51" t="s">
        <v>241</v>
      </c>
      <c r="F13" s="52">
        <v>72.22</v>
      </c>
      <c r="G13" s="52"/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0.00073</v>
      </c>
      <c r="L13" s="13">
        <f>F13*K13</f>
        <v>0.0527206</v>
      </c>
      <c r="N13" s="24" t="s">
        <v>7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13">
        <v>21</v>
      </c>
      <c r="AE13" s="13">
        <f>G13*0.180930459649857</f>
        <v>0</v>
      </c>
      <c r="AF13" s="13">
        <f>G13*(1-0.180930459649857)</f>
        <v>0</v>
      </c>
    </row>
    <row r="14" spans="1:32" ht="12.75">
      <c r="A14" s="4" t="s">
        <v>8</v>
      </c>
      <c r="B14" s="4"/>
      <c r="C14" s="4" t="s">
        <v>91</v>
      </c>
      <c r="D14" s="51" t="s">
        <v>167</v>
      </c>
      <c r="E14" s="51" t="s">
        <v>241</v>
      </c>
      <c r="F14" s="52">
        <v>72.22</v>
      </c>
      <c r="G14" s="52"/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0.05116</v>
      </c>
      <c r="L14" s="13">
        <f>F14*K14</f>
        <v>3.6947751999999996</v>
      </c>
      <c r="N14" s="24" t="s">
        <v>7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G14*0.190890926789282</f>
        <v>0</v>
      </c>
      <c r="AF14" s="13">
        <f>G14*(1-0.190890926789282)</f>
        <v>0</v>
      </c>
    </row>
    <row r="15" spans="1:37" ht="12.75">
      <c r="A15" s="5"/>
      <c r="B15" s="5"/>
      <c r="C15" s="11" t="s">
        <v>92</v>
      </c>
      <c r="D15" s="55" t="s">
        <v>168</v>
      </c>
      <c r="E15" s="56"/>
      <c r="F15" s="56"/>
      <c r="G15" s="56"/>
      <c r="H15" s="26">
        <f>SUM(H16:H22)</f>
        <v>0</v>
      </c>
      <c r="I15" s="26">
        <f>SUM(I16:I22)</f>
        <v>0</v>
      </c>
      <c r="J15" s="26">
        <f>H15+I15</f>
        <v>0</v>
      </c>
      <c r="K15" s="21"/>
      <c r="L15" s="26">
        <f>SUM(L16:L22)</f>
        <v>13.6140882</v>
      </c>
      <c r="P15" s="26">
        <f>IF(Q15="PR",J15,SUM(O16:O22))</f>
        <v>0</v>
      </c>
      <c r="Q15" s="21" t="s">
        <v>268</v>
      </c>
      <c r="R15" s="26">
        <f>IF(Q15="HS",H15,0)</f>
        <v>0</v>
      </c>
      <c r="S15" s="26">
        <f>IF(Q15="HS",I15-P15,0)</f>
        <v>0</v>
      </c>
      <c r="T15" s="26">
        <f>IF(Q15="PS",H15,0)</f>
        <v>0</v>
      </c>
      <c r="U15" s="26">
        <f>IF(Q15="PS",I15-P15,0)</f>
        <v>0</v>
      </c>
      <c r="V15" s="26">
        <f>IF(Q15="MP",H15,0)</f>
        <v>0</v>
      </c>
      <c r="W15" s="26">
        <f>IF(Q15="MP",I15-P15,0)</f>
        <v>0</v>
      </c>
      <c r="X15" s="26">
        <f>IF(Q15="OM",H15,0)</f>
        <v>0</v>
      </c>
      <c r="Y15" s="21"/>
      <c r="AI15" s="26">
        <f>SUM(Z16:Z22)</f>
        <v>0</v>
      </c>
      <c r="AJ15" s="26">
        <f>SUM(AA16:AA22)</f>
        <v>0</v>
      </c>
      <c r="AK15" s="26">
        <f>SUM(AB16:AB22)</f>
        <v>0</v>
      </c>
    </row>
    <row r="16" spans="1:32" ht="12.75">
      <c r="A16" s="4" t="s">
        <v>9</v>
      </c>
      <c r="B16" s="4"/>
      <c r="C16" s="4" t="s">
        <v>93</v>
      </c>
      <c r="D16" s="51" t="s">
        <v>169</v>
      </c>
      <c r="E16" s="51" t="s">
        <v>241</v>
      </c>
      <c r="F16" s="52">
        <v>278.1</v>
      </c>
      <c r="G16" s="52"/>
      <c r="H16" s="13">
        <f aca="true" t="shared" si="0" ref="H16:H22">ROUND(F16*AE16,2)</f>
        <v>0</v>
      </c>
      <c r="I16" s="13">
        <f aca="true" t="shared" si="1" ref="I16:I22">J16-H16</f>
        <v>0</v>
      </c>
      <c r="J16" s="13">
        <f aca="true" t="shared" si="2" ref="J16:J22">ROUND(F16*G16,2)</f>
        <v>0</v>
      </c>
      <c r="K16" s="13">
        <v>0.03338</v>
      </c>
      <c r="L16" s="13">
        <f aca="true" t="shared" si="3" ref="L16:L22">F16*K16</f>
        <v>9.282978</v>
      </c>
      <c r="N16" s="24" t="s">
        <v>7</v>
      </c>
      <c r="O16" s="13">
        <f aca="true" t="shared" si="4" ref="O16:O22">IF(N16="5",I16,0)</f>
        <v>0</v>
      </c>
      <c r="Z16" s="13">
        <f aca="true" t="shared" si="5" ref="Z16:Z22">IF(AD16=0,J16,0)</f>
        <v>0</v>
      </c>
      <c r="AA16" s="13">
        <f aca="true" t="shared" si="6" ref="AA16:AA22">IF(AD16=15,J16,0)</f>
        <v>0</v>
      </c>
      <c r="AB16" s="13">
        <f aca="true" t="shared" si="7" ref="AB16:AB22">IF(AD16=21,J16,0)</f>
        <v>0</v>
      </c>
      <c r="AD16" s="13">
        <v>21</v>
      </c>
      <c r="AE16" s="13">
        <f>G16*0.00047744091668656</f>
        <v>0</v>
      </c>
      <c r="AF16" s="13">
        <f>G16*(1-0.00047744091668656)</f>
        <v>0</v>
      </c>
    </row>
    <row r="17" spans="1:32" ht="12.75">
      <c r="A17" s="4" t="s">
        <v>10</v>
      </c>
      <c r="B17" s="4"/>
      <c r="C17" s="4" t="s">
        <v>94</v>
      </c>
      <c r="D17" s="51" t="s">
        <v>170</v>
      </c>
      <c r="E17" s="51" t="s">
        <v>241</v>
      </c>
      <c r="F17" s="52">
        <v>278.1</v>
      </c>
      <c r="G17" s="52"/>
      <c r="H17" s="13">
        <f t="shared" si="0"/>
        <v>0</v>
      </c>
      <c r="I17" s="13">
        <f t="shared" si="1"/>
        <v>0</v>
      </c>
      <c r="J17" s="13">
        <f t="shared" si="2"/>
        <v>0</v>
      </c>
      <c r="K17" s="13">
        <v>0.00093</v>
      </c>
      <c r="L17" s="13">
        <f t="shared" si="3"/>
        <v>0.25863300000000006</v>
      </c>
      <c r="N17" s="24" t="s">
        <v>7</v>
      </c>
      <c r="O17" s="13">
        <f t="shared" si="4"/>
        <v>0</v>
      </c>
      <c r="Z17" s="13">
        <f t="shared" si="5"/>
        <v>0</v>
      </c>
      <c r="AA17" s="13">
        <f t="shared" si="6"/>
        <v>0</v>
      </c>
      <c r="AB17" s="13">
        <f t="shared" si="7"/>
        <v>0</v>
      </c>
      <c r="AD17" s="13">
        <v>21</v>
      </c>
      <c r="AE17" s="13">
        <f>G17*0.951180084060782</f>
        <v>0</v>
      </c>
      <c r="AF17" s="13">
        <f>G17*(1-0.951180084060782)</f>
        <v>0</v>
      </c>
    </row>
    <row r="18" spans="1:32" ht="12.75">
      <c r="A18" s="4" t="s">
        <v>11</v>
      </c>
      <c r="B18" s="4"/>
      <c r="C18" s="4" t="s">
        <v>95</v>
      </c>
      <c r="D18" s="51" t="s">
        <v>171</v>
      </c>
      <c r="E18" s="51" t="s">
        <v>241</v>
      </c>
      <c r="F18" s="52">
        <v>278.1</v>
      </c>
      <c r="G18" s="52"/>
      <c r="H18" s="13">
        <f t="shared" si="0"/>
        <v>0</v>
      </c>
      <c r="I18" s="13">
        <f t="shared" si="1"/>
        <v>0</v>
      </c>
      <c r="J18" s="13">
        <f t="shared" si="2"/>
        <v>0</v>
      </c>
      <c r="K18" s="13">
        <v>0</v>
      </c>
      <c r="L18" s="13">
        <f t="shared" si="3"/>
        <v>0</v>
      </c>
      <c r="N18" s="24" t="s">
        <v>7</v>
      </c>
      <c r="O18" s="13">
        <f t="shared" si="4"/>
        <v>0</v>
      </c>
      <c r="Z18" s="13">
        <f t="shared" si="5"/>
        <v>0</v>
      </c>
      <c r="AA18" s="13">
        <f t="shared" si="6"/>
        <v>0</v>
      </c>
      <c r="AB18" s="13">
        <f t="shared" si="7"/>
        <v>0</v>
      </c>
      <c r="AD18" s="13">
        <v>21</v>
      </c>
      <c r="AE18" s="13">
        <f>G18*0</f>
        <v>0</v>
      </c>
      <c r="AF18" s="13">
        <f>G18*(1-0)</f>
        <v>0</v>
      </c>
    </row>
    <row r="19" spans="1:32" ht="12.75">
      <c r="A19" s="4" t="s">
        <v>12</v>
      </c>
      <c r="B19" s="4"/>
      <c r="C19" s="4" t="s">
        <v>96</v>
      </c>
      <c r="D19" s="51" t="s">
        <v>172</v>
      </c>
      <c r="E19" s="51" t="s">
        <v>241</v>
      </c>
      <c r="F19" s="52">
        <v>7.92</v>
      </c>
      <c r="G19" s="52"/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0.03496</v>
      </c>
      <c r="L19" s="13">
        <f t="shared" si="3"/>
        <v>0.2768832</v>
      </c>
      <c r="N19" s="24" t="s">
        <v>7</v>
      </c>
      <c r="O19" s="13">
        <f t="shared" si="4"/>
        <v>0</v>
      </c>
      <c r="Z19" s="13">
        <f t="shared" si="5"/>
        <v>0</v>
      </c>
      <c r="AA19" s="13">
        <f t="shared" si="6"/>
        <v>0</v>
      </c>
      <c r="AB19" s="13">
        <f t="shared" si="7"/>
        <v>0</v>
      </c>
      <c r="AD19" s="13">
        <v>21</v>
      </c>
      <c r="AE19" s="13">
        <f>G19*0.459332533972822</f>
        <v>0</v>
      </c>
      <c r="AF19" s="13">
        <f>G19*(1-0.459332533972822)</f>
        <v>0</v>
      </c>
    </row>
    <row r="20" spans="1:32" ht="12.75">
      <c r="A20" s="4" t="s">
        <v>13</v>
      </c>
      <c r="B20" s="4"/>
      <c r="C20" s="4" t="s">
        <v>97</v>
      </c>
      <c r="D20" s="51" t="s">
        <v>173</v>
      </c>
      <c r="E20" s="51" t="s">
        <v>242</v>
      </c>
      <c r="F20" s="52">
        <v>216.15</v>
      </c>
      <c r="G20" s="52"/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0.01736</v>
      </c>
      <c r="L20" s="13">
        <f t="shared" si="3"/>
        <v>3.752364</v>
      </c>
      <c r="N20" s="24" t="s">
        <v>7</v>
      </c>
      <c r="O20" s="13">
        <f t="shared" si="4"/>
        <v>0</v>
      </c>
      <c r="Z20" s="13">
        <f t="shared" si="5"/>
        <v>0</v>
      </c>
      <c r="AA20" s="13">
        <f t="shared" si="6"/>
        <v>0</v>
      </c>
      <c r="AB20" s="13">
        <f t="shared" si="7"/>
        <v>0</v>
      </c>
      <c r="AD20" s="13">
        <v>21</v>
      </c>
      <c r="AE20" s="13">
        <f>G20*0</f>
        <v>0</v>
      </c>
      <c r="AF20" s="13">
        <f>G20*(1-0)</f>
        <v>0</v>
      </c>
    </row>
    <row r="21" spans="1:32" ht="12.75">
      <c r="A21" s="4" t="s">
        <v>14</v>
      </c>
      <c r="B21" s="4"/>
      <c r="C21" s="4" t="s">
        <v>98</v>
      </c>
      <c r="D21" s="51" t="s">
        <v>174</v>
      </c>
      <c r="E21" s="51" t="s">
        <v>242</v>
      </c>
      <c r="F21" s="52">
        <v>216.15</v>
      </c>
      <c r="G21" s="52"/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0.0002</v>
      </c>
      <c r="L21" s="13">
        <f t="shared" si="3"/>
        <v>0.043230000000000005</v>
      </c>
      <c r="N21" s="24" t="s">
        <v>7</v>
      </c>
      <c r="O21" s="13">
        <f t="shared" si="4"/>
        <v>0</v>
      </c>
      <c r="Z21" s="13">
        <f t="shared" si="5"/>
        <v>0</v>
      </c>
      <c r="AA21" s="13">
        <f t="shared" si="6"/>
        <v>0</v>
      </c>
      <c r="AB21" s="13">
        <f t="shared" si="7"/>
        <v>0</v>
      </c>
      <c r="AD21" s="13">
        <v>21</v>
      </c>
      <c r="AE21" s="13">
        <f>G21*0.964064436183395</f>
        <v>0</v>
      </c>
      <c r="AF21" s="13">
        <f>G21*(1-0.964064436183395)</f>
        <v>0</v>
      </c>
    </row>
    <row r="22" spans="1:32" ht="12.75">
      <c r="A22" s="4" t="s">
        <v>15</v>
      </c>
      <c r="B22" s="4"/>
      <c r="C22" s="4" t="s">
        <v>99</v>
      </c>
      <c r="D22" s="51" t="s">
        <v>175</v>
      </c>
      <c r="E22" s="51" t="s">
        <v>242</v>
      </c>
      <c r="F22" s="52">
        <v>216.15</v>
      </c>
      <c r="G22" s="52"/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</v>
      </c>
      <c r="L22" s="13">
        <f t="shared" si="3"/>
        <v>0</v>
      </c>
      <c r="N22" s="24" t="s">
        <v>7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13">
        <v>21</v>
      </c>
      <c r="AE22" s="13">
        <f>G22*0</f>
        <v>0</v>
      </c>
      <c r="AF22" s="13">
        <f>G22*(1-0)</f>
        <v>0</v>
      </c>
    </row>
    <row r="23" spans="1:37" ht="12.75">
      <c r="A23" s="5"/>
      <c r="B23" s="5"/>
      <c r="C23" s="11" t="s">
        <v>100</v>
      </c>
      <c r="D23" s="55" t="s">
        <v>176</v>
      </c>
      <c r="E23" s="56"/>
      <c r="F23" s="56"/>
      <c r="G23" s="56"/>
      <c r="H23" s="26">
        <f>SUM(H24:H25)</f>
        <v>0</v>
      </c>
      <c r="I23" s="26">
        <f>SUM(I24:I25)</f>
        <v>0</v>
      </c>
      <c r="J23" s="26">
        <f>H23+I23</f>
        <v>0</v>
      </c>
      <c r="K23" s="21"/>
      <c r="L23" s="26">
        <f>SUM(L24:L25)</f>
        <v>0.002584</v>
      </c>
      <c r="P23" s="26">
        <f>IF(Q23="PR",J23,SUM(O24:O25))</f>
        <v>0</v>
      </c>
      <c r="Q23" s="21" t="s">
        <v>268</v>
      </c>
      <c r="R23" s="26">
        <f>IF(Q23="HS",H23,0)</f>
        <v>0</v>
      </c>
      <c r="S23" s="26">
        <f>IF(Q23="HS",I23-P23,0)</f>
        <v>0</v>
      </c>
      <c r="T23" s="26">
        <f>IF(Q23="PS",H23,0)</f>
        <v>0</v>
      </c>
      <c r="U23" s="26">
        <f>IF(Q23="PS",I23-P23,0)</f>
        <v>0</v>
      </c>
      <c r="V23" s="26">
        <f>IF(Q23="MP",H23,0)</f>
        <v>0</v>
      </c>
      <c r="W23" s="26">
        <f>IF(Q23="MP",I23-P23,0)</f>
        <v>0</v>
      </c>
      <c r="X23" s="26">
        <f>IF(Q23="OM",H23,0)</f>
        <v>0</v>
      </c>
      <c r="Y23" s="21"/>
      <c r="AI23" s="26">
        <f>SUM(Z24:Z25)</f>
        <v>0</v>
      </c>
      <c r="AJ23" s="26">
        <f>SUM(AA24:AA25)</f>
        <v>0</v>
      </c>
      <c r="AK23" s="26">
        <f>SUM(AB24:AB25)</f>
        <v>0</v>
      </c>
    </row>
    <row r="24" spans="1:32" ht="12.75">
      <c r="A24" s="4" t="s">
        <v>16</v>
      </c>
      <c r="B24" s="4"/>
      <c r="C24" s="4" t="s">
        <v>101</v>
      </c>
      <c r="D24" s="51" t="s">
        <v>177</v>
      </c>
      <c r="E24" s="51" t="s">
        <v>241</v>
      </c>
      <c r="F24" s="52">
        <v>64.6</v>
      </c>
      <c r="G24" s="52"/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4E-05</v>
      </c>
      <c r="L24" s="13">
        <f>F24*K24</f>
        <v>0.002584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13">
        <v>21</v>
      </c>
      <c r="AE24" s="13">
        <f>G24*0.014270296198585</f>
        <v>0</v>
      </c>
      <c r="AF24" s="13">
        <f>G24*(1-0.014270296198585)</f>
        <v>0</v>
      </c>
    </row>
    <row r="25" spans="1:32" ht="25.5">
      <c r="A25" s="4" t="s">
        <v>17</v>
      </c>
      <c r="B25" s="4"/>
      <c r="C25" s="4" t="s">
        <v>102</v>
      </c>
      <c r="D25" s="51" t="s">
        <v>178</v>
      </c>
      <c r="E25" s="51" t="s">
        <v>243</v>
      </c>
      <c r="F25" s="52">
        <v>32</v>
      </c>
      <c r="G25" s="52"/>
      <c r="H25" s="13">
        <f>ROUND(F25*AE25,2)</f>
        <v>0</v>
      </c>
      <c r="I25" s="13">
        <f>J25-H25</f>
        <v>0</v>
      </c>
      <c r="J25" s="13">
        <f>ROUND(F25*G25,2)</f>
        <v>0</v>
      </c>
      <c r="K25" s="13">
        <v>0</v>
      </c>
      <c r="L25" s="13">
        <f>F25*K25</f>
        <v>0</v>
      </c>
      <c r="N25" s="24" t="s">
        <v>7</v>
      </c>
      <c r="O25" s="13">
        <f>IF(N25="5",I25,0)</f>
        <v>0</v>
      </c>
      <c r="Z25" s="13">
        <f>IF(AD25=0,J25,0)</f>
        <v>0</v>
      </c>
      <c r="AA25" s="13">
        <f>IF(AD25=15,J25,0)</f>
        <v>0</v>
      </c>
      <c r="AB25" s="13">
        <f>IF(AD25=21,J25,0)</f>
        <v>0</v>
      </c>
      <c r="AD25" s="13">
        <v>21</v>
      </c>
      <c r="AE25" s="13">
        <f>G25*0</f>
        <v>0</v>
      </c>
      <c r="AF25" s="13">
        <f>G25*(1-0)</f>
        <v>0</v>
      </c>
    </row>
    <row r="26" spans="1:37" ht="12.75">
      <c r="A26" s="5"/>
      <c r="B26" s="5"/>
      <c r="C26" s="11" t="s">
        <v>103</v>
      </c>
      <c r="D26" s="55" t="s">
        <v>179</v>
      </c>
      <c r="E26" s="56"/>
      <c r="F26" s="56"/>
      <c r="G26" s="56"/>
      <c r="H26" s="26">
        <f>SUM(H27:H33)</f>
        <v>0</v>
      </c>
      <c r="I26" s="26">
        <f>SUM(I27:I33)</f>
        <v>0</v>
      </c>
      <c r="J26" s="26">
        <f>H26+I26</f>
        <v>0</v>
      </c>
      <c r="K26" s="21"/>
      <c r="L26" s="26">
        <f>SUM(L27:L33)</f>
        <v>3.611</v>
      </c>
      <c r="P26" s="26">
        <f>IF(Q26="PR",J26,SUM(O27:O33))</f>
        <v>0</v>
      </c>
      <c r="Q26" s="21" t="s">
        <v>268</v>
      </c>
      <c r="R26" s="26">
        <f>IF(Q26="HS",H26,0)</f>
        <v>0</v>
      </c>
      <c r="S26" s="26">
        <f>IF(Q26="HS",I26-P26,0)</f>
        <v>0</v>
      </c>
      <c r="T26" s="26">
        <f>IF(Q26="PS",H26,0)</f>
        <v>0</v>
      </c>
      <c r="U26" s="26">
        <f>IF(Q26="PS",I26-P26,0)</f>
        <v>0</v>
      </c>
      <c r="V26" s="26">
        <f>IF(Q26="MP",H26,0)</f>
        <v>0</v>
      </c>
      <c r="W26" s="26">
        <f>IF(Q26="MP",I26-P26,0)</f>
        <v>0</v>
      </c>
      <c r="X26" s="26">
        <f>IF(Q26="OM",H26,0)</f>
        <v>0</v>
      </c>
      <c r="Y26" s="21"/>
      <c r="AI26" s="26">
        <f>SUM(Z27:Z33)</f>
        <v>0</v>
      </c>
      <c r="AJ26" s="26">
        <f>SUM(AA27:AA33)</f>
        <v>0</v>
      </c>
      <c r="AK26" s="26">
        <f>SUM(AB27:AB33)</f>
        <v>0</v>
      </c>
    </row>
    <row r="27" spans="1:32" ht="12.75">
      <c r="A27" s="4" t="s">
        <v>18</v>
      </c>
      <c r="B27" s="4"/>
      <c r="C27" s="4" t="s">
        <v>104</v>
      </c>
      <c r="D27" s="51" t="s">
        <v>180</v>
      </c>
      <c r="E27" s="51" t="s">
        <v>241</v>
      </c>
      <c r="F27" s="52">
        <v>72.22</v>
      </c>
      <c r="G27" s="52"/>
      <c r="H27" s="13">
        <f aca="true" t="shared" si="8" ref="H27:H33">ROUND(F27*AE27,2)</f>
        <v>0</v>
      </c>
      <c r="I27" s="13">
        <f aca="true" t="shared" si="9" ref="I27:I33">J27-H27</f>
        <v>0</v>
      </c>
      <c r="J27" s="13">
        <f aca="true" t="shared" si="10" ref="J27:J33">ROUND(F27*G27,2)</f>
        <v>0</v>
      </c>
      <c r="K27" s="13">
        <v>0.05</v>
      </c>
      <c r="L27" s="13">
        <f aca="true" t="shared" si="11" ref="L27:L33">F27*K27</f>
        <v>3.611</v>
      </c>
      <c r="N27" s="24" t="s">
        <v>9</v>
      </c>
      <c r="O27" s="13">
        <f aca="true" t="shared" si="12" ref="O27:O33">IF(N27="5",I27,0)</f>
        <v>0</v>
      </c>
      <c r="Z27" s="13">
        <f aca="true" t="shared" si="13" ref="Z27:Z33">IF(AD27=0,J27,0)</f>
        <v>0</v>
      </c>
      <c r="AA27" s="13">
        <f aca="true" t="shared" si="14" ref="AA27:AA33">IF(AD27=15,J27,0)</f>
        <v>0</v>
      </c>
      <c r="AB27" s="13">
        <f aca="true" t="shared" si="15" ref="AB27:AB33">IF(AD27=21,J27,0)</f>
        <v>0</v>
      </c>
      <c r="AD27" s="13">
        <v>21</v>
      </c>
      <c r="AE27" s="13">
        <f aca="true" t="shared" si="16" ref="AE27:AE33">G27*0</f>
        <v>0</v>
      </c>
      <c r="AF27" s="13">
        <f aca="true" t="shared" si="17" ref="AF27:AF33">G27*(1-0)</f>
        <v>0</v>
      </c>
    </row>
    <row r="28" spans="1:32" ht="12.75">
      <c r="A28" s="4" t="s">
        <v>19</v>
      </c>
      <c r="B28" s="4"/>
      <c r="C28" s="4" t="s">
        <v>105</v>
      </c>
      <c r="D28" s="51" t="s">
        <v>181</v>
      </c>
      <c r="E28" s="51" t="s">
        <v>244</v>
      </c>
      <c r="F28" s="52">
        <v>3.61</v>
      </c>
      <c r="G28" s="52"/>
      <c r="H28" s="13">
        <f t="shared" si="8"/>
        <v>0</v>
      </c>
      <c r="I28" s="13">
        <f t="shared" si="9"/>
        <v>0</v>
      </c>
      <c r="J28" s="13">
        <f t="shared" si="10"/>
        <v>0</v>
      </c>
      <c r="K28" s="13">
        <v>0</v>
      </c>
      <c r="L28" s="13">
        <f t="shared" si="11"/>
        <v>0</v>
      </c>
      <c r="N28" s="24" t="s">
        <v>11</v>
      </c>
      <c r="O28" s="13">
        <f t="shared" si="12"/>
        <v>0</v>
      </c>
      <c r="Z28" s="13">
        <f t="shared" si="13"/>
        <v>0</v>
      </c>
      <c r="AA28" s="13">
        <f t="shared" si="14"/>
        <v>0</v>
      </c>
      <c r="AB28" s="13">
        <f t="shared" si="15"/>
        <v>0</v>
      </c>
      <c r="AD28" s="13">
        <v>21</v>
      </c>
      <c r="AE28" s="13">
        <f t="shared" si="16"/>
        <v>0</v>
      </c>
      <c r="AF28" s="13">
        <f t="shared" si="17"/>
        <v>0</v>
      </c>
    </row>
    <row r="29" spans="1:32" ht="12.75">
      <c r="A29" s="4" t="s">
        <v>20</v>
      </c>
      <c r="B29" s="4"/>
      <c r="C29" s="4" t="s">
        <v>106</v>
      </c>
      <c r="D29" s="51" t="s">
        <v>182</v>
      </c>
      <c r="E29" s="51" t="s">
        <v>244</v>
      </c>
      <c r="F29" s="52">
        <v>7.22</v>
      </c>
      <c r="G29" s="52"/>
      <c r="H29" s="13">
        <f t="shared" si="8"/>
        <v>0</v>
      </c>
      <c r="I29" s="13">
        <f t="shared" si="9"/>
        <v>0</v>
      </c>
      <c r="J29" s="13">
        <f t="shared" si="10"/>
        <v>0</v>
      </c>
      <c r="K29" s="13">
        <v>0</v>
      </c>
      <c r="L29" s="13">
        <f t="shared" si="11"/>
        <v>0</v>
      </c>
      <c r="N29" s="24" t="s">
        <v>11</v>
      </c>
      <c r="O29" s="13">
        <f t="shared" si="12"/>
        <v>0</v>
      </c>
      <c r="Z29" s="13">
        <f t="shared" si="13"/>
        <v>0</v>
      </c>
      <c r="AA29" s="13">
        <f t="shared" si="14"/>
        <v>0</v>
      </c>
      <c r="AB29" s="13">
        <f t="shared" si="15"/>
        <v>0</v>
      </c>
      <c r="AD29" s="13">
        <v>21</v>
      </c>
      <c r="AE29" s="13">
        <f t="shared" si="16"/>
        <v>0</v>
      </c>
      <c r="AF29" s="13">
        <f t="shared" si="17"/>
        <v>0</v>
      </c>
    </row>
    <row r="30" spans="1:32" ht="12.75">
      <c r="A30" s="4" t="s">
        <v>21</v>
      </c>
      <c r="B30" s="4"/>
      <c r="C30" s="4" t="s">
        <v>107</v>
      </c>
      <c r="D30" s="51" t="s">
        <v>183</v>
      </c>
      <c r="E30" s="51" t="s">
        <v>244</v>
      </c>
      <c r="F30" s="52">
        <v>3.61</v>
      </c>
      <c r="G30" s="52"/>
      <c r="H30" s="13">
        <f t="shared" si="8"/>
        <v>0</v>
      </c>
      <c r="I30" s="13">
        <f t="shared" si="9"/>
        <v>0</v>
      </c>
      <c r="J30" s="13">
        <f t="shared" si="10"/>
        <v>0</v>
      </c>
      <c r="K30" s="13">
        <v>0</v>
      </c>
      <c r="L30" s="13">
        <f t="shared" si="11"/>
        <v>0</v>
      </c>
      <c r="N30" s="24" t="s">
        <v>11</v>
      </c>
      <c r="O30" s="13">
        <f t="shared" si="12"/>
        <v>0</v>
      </c>
      <c r="Z30" s="13">
        <f t="shared" si="13"/>
        <v>0</v>
      </c>
      <c r="AA30" s="13">
        <f t="shared" si="14"/>
        <v>0</v>
      </c>
      <c r="AB30" s="13">
        <f t="shared" si="15"/>
        <v>0</v>
      </c>
      <c r="AD30" s="13">
        <v>21</v>
      </c>
      <c r="AE30" s="13">
        <f t="shared" si="16"/>
        <v>0</v>
      </c>
      <c r="AF30" s="13">
        <f t="shared" si="17"/>
        <v>0</v>
      </c>
    </row>
    <row r="31" spans="1:32" ht="12.75">
      <c r="A31" s="4" t="s">
        <v>22</v>
      </c>
      <c r="B31" s="4"/>
      <c r="C31" s="4" t="s">
        <v>108</v>
      </c>
      <c r="D31" s="51" t="s">
        <v>184</v>
      </c>
      <c r="E31" s="51" t="s">
        <v>244</v>
      </c>
      <c r="F31" s="52">
        <v>36.11</v>
      </c>
      <c r="G31" s="52"/>
      <c r="H31" s="13">
        <f t="shared" si="8"/>
        <v>0</v>
      </c>
      <c r="I31" s="13">
        <f t="shared" si="9"/>
        <v>0</v>
      </c>
      <c r="J31" s="13">
        <f t="shared" si="10"/>
        <v>0</v>
      </c>
      <c r="K31" s="13">
        <v>0</v>
      </c>
      <c r="L31" s="13">
        <f t="shared" si="11"/>
        <v>0</v>
      </c>
      <c r="N31" s="24" t="s">
        <v>11</v>
      </c>
      <c r="O31" s="13">
        <f t="shared" si="12"/>
        <v>0</v>
      </c>
      <c r="Z31" s="13">
        <f t="shared" si="13"/>
        <v>0</v>
      </c>
      <c r="AA31" s="13">
        <f t="shared" si="14"/>
        <v>0</v>
      </c>
      <c r="AB31" s="13">
        <f t="shared" si="15"/>
        <v>0</v>
      </c>
      <c r="AD31" s="13">
        <v>21</v>
      </c>
      <c r="AE31" s="13">
        <f t="shared" si="16"/>
        <v>0</v>
      </c>
      <c r="AF31" s="13">
        <f t="shared" si="17"/>
        <v>0</v>
      </c>
    </row>
    <row r="32" spans="1:32" ht="12.75">
      <c r="A32" s="4" t="s">
        <v>23</v>
      </c>
      <c r="B32" s="4"/>
      <c r="C32" s="4" t="s">
        <v>109</v>
      </c>
      <c r="D32" s="51" t="s">
        <v>185</v>
      </c>
      <c r="E32" s="51" t="s">
        <v>244</v>
      </c>
      <c r="F32" s="52">
        <v>3.61</v>
      </c>
      <c r="G32" s="52"/>
      <c r="H32" s="13">
        <f t="shared" si="8"/>
        <v>0</v>
      </c>
      <c r="I32" s="13">
        <f t="shared" si="9"/>
        <v>0</v>
      </c>
      <c r="J32" s="13">
        <f t="shared" si="10"/>
        <v>0</v>
      </c>
      <c r="K32" s="13">
        <v>0</v>
      </c>
      <c r="L32" s="13">
        <f t="shared" si="11"/>
        <v>0</v>
      </c>
      <c r="N32" s="24" t="s">
        <v>11</v>
      </c>
      <c r="O32" s="13">
        <f t="shared" si="12"/>
        <v>0</v>
      </c>
      <c r="Z32" s="13">
        <f t="shared" si="13"/>
        <v>0</v>
      </c>
      <c r="AA32" s="13">
        <f t="shared" si="14"/>
        <v>0</v>
      </c>
      <c r="AB32" s="13">
        <f t="shared" si="15"/>
        <v>0</v>
      </c>
      <c r="AD32" s="13">
        <v>21</v>
      </c>
      <c r="AE32" s="13">
        <f t="shared" si="16"/>
        <v>0</v>
      </c>
      <c r="AF32" s="13">
        <f t="shared" si="17"/>
        <v>0</v>
      </c>
    </row>
    <row r="33" spans="1:32" ht="12.75">
      <c r="A33" s="4" t="s">
        <v>24</v>
      </c>
      <c r="B33" s="4"/>
      <c r="C33" s="4" t="s">
        <v>110</v>
      </c>
      <c r="D33" s="51" t="s">
        <v>186</v>
      </c>
      <c r="E33" s="51" t="s">
        <v>244</v>
      </c>
      <c r="F33" s="52">
        <v>3.61</v>
      </c>
      <c r="G33" s="52"/>
      <c r="H33" s="13">
        <f t="shared" si="8"/>
        <v>0</v>
      </c>
      <c r="I33" s="13">
        <f t="shared" si="9"/>
        <v>0</v>
      </c>
      <c r="J33" s="13">
        <f t="shared" si="10"/>
        <v>0</v>
      </c>
      <c r="K33" s="13">
        <v>0</v>
      </c>
      <c r="L33" s="13">
        <f t="shared" si="11"/>
        <v>0</v>
      </c>
      <c r="N33" s="24" t="s">
        <v>11</v>
      </c>
      <c r="O33" s="13">
        <f t="shared" si="12"/>
        <v>0</v>
      </c>
      <c r="Z33" s="13">
        <f t="shared" si="13"/>
        <v>0</v>
      </c>
      <c r="AA33" s="13">
        <f t="shared" si="14"/>
        <v>0</v>
      </c>
      <c r="AB33" s="13">
        <f t="shared" si="15"/>
        <v>0</v>
      </c>
      <c r="AD33" s="13">
        <v>21</v>
      </c>
      <c r="AE33" s="13">
        <f t="shared" si="16"/>
        <v>0</v>
      </c>
      <c r="AF33" s="13">
        <f t="shared" si="17"/>
        <v>0</v>
      </c>
    </row>
    <row r="34" spans="1:37" ht="12.75">
      <c r="A34" s="5"/>
      <c r="B34" s="5"/>
      <c r="C34" s="11" t="s">
        <v>111</v>
      </c>
      <c r="D34" s="55" t="s">
        <v>187</v>
      </c>
      <c r="E34" s="56"/>
      <c r="F34" s="56"/>
      <c r="G34" s="56"/>
      <c r="H34" s="26">
        <f>SUM(H35:H35)</f>
        <v>0</v>
      </c>
      <c r="I34" s="26">
        <f>SUM(I35:I35)</f>
        <v>0</v>
      </c>
      <c r="J34" s="26">
        <f>H34+I34</f>
        <v>0</v>
      </c>
      <c r="K34" s="21"/>
      <c r="L34" s="26">
        <f>SUM(L35:L35)</f>
        <v>0</v>
      </c>
      <c r="P34" s="26">
        <f>IF(Q34="PR",J34,SUM(O35:O35))</f>
        <v>0</v>
      </c>
      <c r="Q34" s="21" t="s">
        <v>269</v>
      </c>
      <c r="R34" s="26">
        <f>IF(Q34="HS",H34,0)</f>
        <v>0</v>
      </c>
      <c r="S34" s="26">
        <f>IF(Q34="HS",I34-P34,0)</f>
        <v>0</v>
      </c>
      <c r="T34" s="26">
        <f>IF(Q34="PS",H34,0)</f>
        <v>0</v>
      </c>
      <c r="U34" s="26">
        <f>IF(Q34="PS",I34-P34,0)</f>
        <v>0</v>
      </c>
      <c r="V34" s="26">
        <f>IF(Q34="MP",H34,0)</f>
        <v>0</v>
      </c>
      <c r="W34" s="26">
        <f>IF(Q34="MP",I34-P34,0)</f>
        <v>0</v>
      </c>
      <c r="X34" s="26">
        <f>IF(Q34="OM",H34,0)</f>
        <v>0</v>
      </c>
      <c r="Y34" s="21"/>
      <c r="AI34" s="26">
        <f>SUM(Z35:Z35)</f>
        <v>0</v>
      </c>
      <c r="AJ34" s="26">
        <f>SUM(AA35:AA35)</f>
        <v>0</v>
      </c>
      <c r="AK34" s="26">
        <f>SUM(AB35:AB35)</f>
        <v>0</v>
      </c>
    </row>
    <row r="35" spans="1:32" ht="12.75">
      <c r="A35" s="4" t="s">
        <v>25</v>
      </c>
      <c r="B35" s="4"/>
      <c r="C35" s="4" t="s">
        <v>112</v>
      </c>
      <c r="D35" s="51" t="s">
        <v>188</v>
      </c>
      <c r="E35" s="51" t="s">
        <v>244</v>
      </c>
      <c r="F35" s="52">
        <v>26.77</v>
      </c>
      <c r="G35" s="52"/>
      <c r="H35" s="13">
        <f>ROUND(F35*AE35,2)</f>
        <v>0</v>
      </c>
      <c r="I35" s="13">
        <f>J35-H35</f>
        <v>0</v>
      </c>
      <c r="J35" s="13">
        <f>ROUND(F35*G35,2)</f>
        <v>0</v>
      </c>
      <c r="K35" s="13">
        <v>0</v>
      </c>
      <c r="L35" s="13">
        <f>F35*K35</f>
        <v>0</v>
      </c>
      <c r="N35" s="24" t="s">
        <v>11</v>
      </c>
      <c r="O35" s="13">
        <f>IF(N35="5",I35,0)</f>
        <v>0</v>
      </c>
      <c r="Z35" s="13">
        <f>IF(AD35=0,J35,0)</f>
        <v>0</v>
      </c>
      <c r="AA35" s="13">
        <f>IF(AD35=15,J35,0)</f>
        <v>0</v>
      </c>
      <c r="AB35" s="13">
        <f>IF(AD35=21,J35,0)</f>
        <v>0</v>
      </c>
      <c r="AD35" s="13">
        <v>21</v>
      </c>
      <c r="AE35" s="13">
        <f>G35*0</f>
        <v>0</v>
      </c>
      <c r="AF35" s="13">
        <f>G35*(1-0)</f>
        <v>0</v>
      </c>
    </row>
    <row r="36" spans="1:37" ht="12.75">
      <c r="A36" s="5"/>
      <c r="B36" s="5"/>
      <c r="C36" s="11" t="s">
        <v>113</v>
      </c>
      <c r="D36" s="55" t="s">
        <v>189</v>
      </c>
      <c r="E36" s="56"/>
      <c r="F36" s="56"/>
      <c r="G36" s="56"/>
      <c r="H36" s="26">
        <f>SUM(H37:H49)</f>
        <v>0</v>
      </c>
      <c r="I36" s="26">
        <f>SUM(I37:I49)</f>
        <v>0</v>
      </c>
      <c r="J36" s="26">
        <f>H36+I36</f>
        <v>0</v>
      </c>
      <c r="K36" s="21"/>
      <c r="L36" s="26">
        <f>SUM(L37:L49)</f>
        <v>3.413016</v>
      </c>
      <c r="P36" s="26">
        <f>IF(Q36="PR",J36,SUM(O37:O49))</f>
        <v>0</v>
      </c>
      <c r="Q36" s="21" t="s">
        <v>270</v>
      </c>
      <c r="R36" s="26">
        <f>IF(Q36="HS",H36,0)</f>
        <v>0</v>
      </c>
      <c r="S36" s="26">
        <f>IF(Q36="HS",I36-P36,0)</f>
        <v>0</v>
      </c>
      <c r="T36" s="26">
        <f>IF(Q36="PS",H36,0)</f>
        <v>0</v>
      </c>
      <c r="U36" s="26">
        <f>IF(Q36="PS",I36-P36,0)</f>
        <v>0</v>
      </c>
      <c r="V36" s="26">
        <f>IF(Q36="MP",H36,0)</f>
        <v>0</v>
      </c>
      <c r="W36" s="26">
        <f>IF(Q36="MP",I36-P36,0)</f>
        <v>0</v>
      </c>
      <c r="X36" s="26">
        <f>IF(Q36="OM",H36,0)</f>
        <v>0</v>
      </c>
      <c r="Y36" s="21"/>
      <c r="AI36" s="26">
        <f>SUM(Z37:Z49)</f>
        <v>0</v>
      </c>
      <c r="AJ36" s="26">
        <f>SUM(AA37:AA49)</f>
        <v>0</v>
      </c>
      <c r="AK36" s="26">
        <f>SUM(AB37:AB49)</f>
        <v>0</v>
      </c>
    </row>
    <row r="37" spans="1:32" ht="12.75">
      <c r="A37" s="4" t="s">
        <v>26</v>
      </c>
      <c r="B37" s="4"/>
      <c r="C37" s="4" t="s">
        <v>114</v>
      </c>
      <c r="D37" s="51" t="s">
        <v>190</v>
      </c>
      <c r="E37" s="51" t="s">
        <v>241</v>
      </c>
      <c r="F37" s="52">
        <v>135.01</v>
      </c>
      <c r="G37" s="52"/>
      <c r="H37" s="13">
        <f aca="true" t="shared" si="18" ref="H37:H49">ROUND(F37*AE37,2)</f>
        <v>0</v>
      </c>
      <c r="I37" s="13">
        <f aca="true" t="shared" si="19" ref="I37:I49">J37-H37</f>
        <v>0</v>
      </c>
      <c r="J37" s="13">
        <f aca="true" t="shared" si="20" ref="J37:J49">ROUND(F37*G37,2)</f>
        <v>0</v>
      </c>
      <c r="K37" s="13">
        <v>0.007</v>
      </c>
      <c r="L37" s="13">
        <f aca="true" t="shared" si="21" ref="L37:L49">F37*K37</f>
        <v>0.94507</v>
      </c>
      <c r="N37" s="24" t="s">
        <v>7</v>
      </c>
      <c r="O37" s="13">
        <f aca="true" t="shared" si="22" ref="O37:O49">IF(N37="5",I37,0)</f>
        <v>0</v>
      </c>
      <c r="Z37" s="13">
        <f aca="true" t="shared" si="23" ref="Z37:Z49">IF(AD37=0,J37,0)</f>
        <v>0</v>
      </c>
      <c r="AA37" s="13">
        <f aca="true" t="shared" si="24" ref="AA37:AA49">IF(AD37=15,J37,0)</f>
        <v>0</v>
      </c>
      <c r="AB37" s="13">
        <f aca="true" t="shared" si="25" ref="AB37:AB49">IF(AD37=21,J37,0)</f>
        <v>0</v>
      </c>
      <c r="AD37" s="13">
        <v>21</v>
      </c>
      <c r="AE37" s="13">
        <f>G37*0</f>
        <v>0</v>
      </c>
      <c r="AF37" s="13">
        <f>G37*(1-0)</f>
        <v>0</v>
      </c>
    </row>
    <row r="38" spans="1:32" ht="12.75">
      <c r="A38" s="4" t="s">
        <v>27</v>
      </c>
      <c r="B38" s="4"/>
      <c r="C38" s="4" t="s">
        <v>115</v>
      </c>
      <c r="D38" s="51" t="s">
        <v>191</v>
      </c>
      <c r="E38" s="51" t="s">
        <v>241</v>
      </c>
      <c r="F38" s="52">
        <v>135.01</v>
      </c>
      <c r="G38" s="52"/>
      <c r="H38" s="13">
        <f t="shared" si="18"/>
        <v>0</v>
      </c>
      <c r="I38" s="13">
        <f t="shared" si="19"/>
        <v>0</v>
      </c>
      <c r="J38" s="13">
        <f t="shared" si="20"/>
        <v>0</v>
      </c>
      <c r="K38" s="13">
        <v>0</v>
      </c>
      <c r="L38" s="13">
        <f t="shared" si="21"/>
        <v>0</v>
      </c>
      <c r="N38" s="24" t="s">
        <v>7</v>
      </c>
      <c r="O38" s="13">
        <f t="shared" si="22"/>
        <v>0</v>
      </c>
      <c r="Z38" s="13">
        <f t="shared" si="23"/>
        <v>0</v>
      </c>
      <c r="AA38" s="13">
        <f t="shared" si="24"/>
        <v>0</v>
      </c>
      <c r="AB38" s="13">
        <f t="shared" si="25"/>
        <v>0</v>
      </c>
      <c r="AD38" s="13">
        <v>21</v>
      </c>
      <c r="AE38" s="13">
        <f>G38*0</f>
        <v>0</v>
      </c>
      <c r="AF38" s="13">
        <f>G38*(1-0)</f>
        <v>0</v>
      </c>
    </row>
    <row r="39" spans="1:32" ht="12.75">
      <c r="A39" s="4" t="s">
        <v>28</v>
      </c>
      <c r="B39" s="4"/>
      <c r="C39" s="4" t="s">
        <v>116</v>
      </c>
      <c r="D39" s="51" t="s">
        <v>192</v>
      </c>
      <c r="E39" s="51" t="s">
        <v>241</v>
      </c>
      <c r="F39" s="52">
        <v>135.01</v>
      </c>
      <c r="G39" s="52"/>
      <c r="H39" s="13">
        <f t="shared" si="18"/>
        <v>0</v>
      </c>
      <c r="I39" s="13">
        <f t="shared" si="19"/>
        <v>0</v>
      </c>
      <c r="J39" s="13">
        <f t="shared" si="20"/>
        <v>0</v>
      </c>
      <c r="K39" s="13">
        <v>0</v>
      </c>
      <c r="L39" s="13">
        <f t="shared" si="21"/>
        <v>0</v>
      </c>
      <c r="N39" s="24" t="s">
        <v>7</v>
      </c>
      <c r="O39" s="13">
        <f t="shared" si="22"/>
        <v>0</v>
      </c>
      <c r="Z39" s="13">
        <f t="shared" si="23"/>
        <v>0</v>
      </c>
      <c r="AA39" s="13">
        <f t="shared" si="24"/>
        <v>0</v>
      </c>
      <c r="AB39" s="13">
        <f t="shared" si="25"/>
        <v>0</v>
      </c>
      <c r="AD39" s="13">
        <v>21</v>
      </c>
      <c r="AE39" s="13">
        <f>G39*0</f>
        <v>0</v>
      </c>
      <c r="AF39" s="13">
        <f>G39*(1-0)</f>
        <v>0</v>
      </c>
    </row>
    <row r="40" spans="1:32" ht="12.75">
      <c r="A40" s="4" t="s">
        <v>29</v>
      </c>
      <c r="B40" s="4"/>
      <c r="C40" s="4" t="s">
        <v>117</v>
      </c>
      <c r="D40" s="51" t="s">
        <v>193</v>
      </c>
      <c r="E40" s="51" t="s">
        <v>245</v>
      </c>
      <c r="F40" s="52">
        <v>1008.81</v>
      </c>
      <c r="G40" s="52"/>
      <c r="H40" s="13">
        <f t="shared" si="18"/>
        <v>0</v>
      </c>
      <c r="I40" s="13">
        <f t="shared" si="19"/>
        <v>0</v>
      </c>
      <c r="J40" s="13">
        <f t="shared" si="20"/>
        <v>0</v>
      </c>
      <c r="K40" s="13">
        <v>0.00132</v>
      </c>
      <c r="L40" s="13">
        <f t="shared" si="21"/>
        <v>1.3316291999999998</v>
      </c>
      <c r="N40" s="24" t="s">
        <v>265</v>
      </c>
      <c r="O40" s="13">
        <f t="shared" si="22"/>
        <v>0</v>
      </c>
      <c r="Z40" s="13">
        <f t="shared" si="23"/>
        <v>0</v>
      </c>
      <c r="AA40" s="13">
        <f t="shared" si="24"/>
        <v>0</v>
      </c>
      <c r="AB40" s="13">
        <f t="shared" si="25"/>
        <v>0</v>
      </c>
      <c r="AD40" s="13">
        <v>21</v>
      </c>
      <c r="AE40" s="13">
        <f>G40*1</f>
        <v>0</v>
      </c>
      <c r="AF40" s="13">
        <f>G40*(1-1)</f>
        <v>0</v>
      </c>
    </row>
    <row r="41" spans="1:32" ht="12.75">
      <c r="A41" s="4" t="s">
        <v>30</v>
      </c>
      <c r="B41" s="4"/>
      <c r="C41" s="4" t="s">
        <v>118</v>
      </c>
      <c r="D41" s="51" t="s">
        <v>194</v>
      </c>
      <c r="E41" s="51" t="s">
        <v>241</v>
      </c>
      <c r="F41" s="52">
        <v>201.76</v>
      </c>
      <c r="G41" s="52"/>
      <c r="H41" s="13">
        <f t="shared" si="18"/>
        <v>0</v>
      </c>
      <c r="I41" s="13">
        <f t="shared" si="19"/>
        <v>0</v>
      </c>
      <c r="J41" s="13">
        <f t="shared" si="20"/>
        <v>0</v>
      </c>
      <c r="K41" s="13">
        <v>0.00018</v>
      </c>
      <c r="L41" s="13">
        <f t="shared" si="21"/>
        <v>0.0363168</v>
      </c>
      <c r="N41" s="24" t="s">
        <v>7</v>
      </c>
      <c r="O41" s="13">
        <f t="shared" si="22"/>
        <v>0</v>
      </c>
      <c r="Z41" s="13">
        <f t="shared" si="23"/>
        <v>0</v>
      </c>
      <c r="AA41" s="13">
        <f t="shared" si="24"/>
        <v>0</v>
      </c>
      <c r="AB41" s="13">
        <f t="shared" si="25"/>
        <v>0</v>
      </c>
      <c r="AD41" s="13">
        <v>21</v>
      </c>
      <c r="AE41" s="13">
        <f>G41*0.214742224115893</f>
        <v>0</v>
      </c>
      <c r="AF41" s="13">
        <f>G41*(1-0.214742224115893)</f>
        <v>0</v>
      </c>
    </row>
    <row r="42" spans="1:32" ht="25.5">
      <c r="A42" s="4" t="s">
        <v>31</v>
      </c>
      <c r="B42" s="4"/>
      <c r="C42" s="4" t="s">
        <v>119</v>
      </c>
      <c r="D42" s="51" t="s">
        <v>195</v>
      </c>
      <c r="E42" s="51" t="s">
        <v>242</v>
      </c>
      <c r="F42" s="52">
        <v>2</v>
      </c>
      <c r="G42" s="52"/>
      <c r="H42" s="13">
        <f t="shared" si="18"/>
        <v>0</v>
      </c>
      <c r="I42" s="13">
        <f t="shared" si="19"/>
        <v>0</v>
      </c>
      <c r="J42" s="13">
        <f t="shared" si="20"/>
        <v>0</v>
      </c>
      <c r="K42" s="13">
        <v>0.55</v>
      </c>
      <c r="L42" s="13">
        <f t="shared" si="21"/>
        <v>1.1</v>
      </c>
      <c r="N42" s="24" t="s">
        <v>7</v>
      </c>
      <c r="O42" s="13">
        <f t="shared" si="22"/>
        <v>0</v>
      </c>
      <c r="Z42" s="13">
        <f t="shared" si="23"/>
        <v>0</v>
      </c>
      <c r="AA42" s="13">
        <f t="shared" si="24"/>
        <v>0</v>
      </c>
      <c r="AB42" s="13">
        <f t="shared" si="25"/>
        <v>0</v>
      </c>
      <c r="AD42" s="13">
        <v>21</v>
      </c>
      <c r="AE42" s="13">
        <f>G42*0.535714285714286</f>
        <v>0</v>
      </c>
      <c r="AF42" s="13">
        <f>G42*(1-0.535714285714286)</f>
        <v>0</v>
      </c>
    </row>
    <row r="43" spans="1:32" ht="25.5">
      <c r="A43" s="4" t="s">
        <v>32</v>
      </c>
      <c r="B43" s="4"/>
      <c r="C43" s="4" t="s">
        <v>120</v>
      </c>
      <c r="D43" s="51" t="s">
        <v>196</v>
      </c>
      <c r="E43" s="51" t="s">
        <v>244</v>
      </c>
      <c r="F43" s="52">
        <v>2.47</v>
      </c>
      <c r="G43" s="52"/>
      <c r="H43" s="13">
        <f t="shared" si="18"/>
        <v>0</v>
      </c>
      <c r="I43" s="13">
        <f t="shared" si="19"/>
        <v>0</v>
      </c>
      <c r="J43" s="13">
        <f t="shared" si="20"/>
        <v>0</v>
      </c>
      <c r="K43" s="13">
        <v>0</v>
      </c>
      <c r="L43" s="13">
        <f t="shared" si="21"/>
        <v>0</v>
      </c>
      <c r="N43" s="24" t="s">
        <v>11</v>
      </c>
      <c r="O43" s="13">
        <f t="shared" si="22"/>
        <v>0</v>
      </c>
      <c r="Z43" s="13">
        <f t="shared" si="23"/>
        <v>0</v>
      </c>
      <c r="AA43" s="13">
        <f t="shared" si="24"/>
        <v>0</v>
      </c>
      <c r="AB43" s="13">
        <f t="shared" si="25"/>
        <v>0</v>
      </c>
      <c r="AD43" s="13">
        <v>21</v>
      </c>
      <c r="AE43" s="13">
        <f aca="true" t="shared" si="26" ref="AE43:AE49">G43*0</f>
        <v>0</v>
      </c>
      <c r="AF43" s="13">
        <f aca="true" t="shared" si="27" ref="AF43:AF49">G43*(1-0)</f>
        <v>0</v>
      </c>
    </row>
    <row r="44" spans="1:32" ht="12.75">
      <c r="A44" s="4" t="s">
        <v>33</v>
      </c>
      <c r="B44" s="4"/>
      <c r="C44" s="4" t="s">
        <v>121</v>
      </c>
      <c r="D44" s="51" t="s">
        <v>197</v>
      </c>
      <c r="E44" s="51" t="s">
        <v>244</v>
      </c>
      <c r="F44" s="52">
        <v>2.05</v>
      </c>
      <c r="G44" s="52"/>
      <c r="H44" s="13">
        <f t="shared" si="18"/>
        <v>0</v>
      </c>
      <c r="I44" s="13">
        <f t="shared" si="19"/>
        <v>0</v>
      </c>
      <c r="J44" s="13">
        <f t="shared" si="20"/>
        <v>0</v>
      </c>
      <c r="K44" s="13">
        <v>0</v>
      </c>
      <c r="L44" s="13">
        <f t="shared" si="21"/>
        <v>0</v>
      </c>
      <c r="N44" s="24" t="s">
        <v>11</v>
      </c>
      <c r="O44" s="13">
        <f t="shared" si="22"/>
        <v>0</v>
      </c>
      <c r="Z44" s="13">
        <f t="shared" si="23"/>
        <v>0</v>
      </c>
      <c r="AA44" s="13">
        <f t="shared" si="24"/>
        <v>0</v>
      </c>
      <c r="AB44" s="13">
        <f t="shared" si="25"/>
        <v>0</v>
      </c>
      <c r="AD44" s="13">
        <v>21</v>
      </c>
      <c r="AE44" s="13">
        <f t="shared" si="26"/>
        <v>0</v>
      </c>
      <c r="AF44" s="13">
        <f t="shared" si="27"/>
        <v>0</v>
      </c>
    </row>
    <row r="45" spans="1:32" ht="12.75">
      <c r="A45" s="4" t="s">
        <v>34</v>
      </c>
      <c r="B45" s="4"/>
      <c r="C45" s="4" t="s">
        <v>122</v>
      </c>
      <c r="D45" s="51" t="s">
        <v>198</v>
      </c>
      <c r="E45" s="51" t="s">
        <v>244</v>
      </c>
      <c r="F45" s="52">
        <v>4.1</v>
      </c>
      <c r="G45" s="52"/>
      <c r="H45" s="13">
        <f t="shared" si="18"/>
        <v>0</v>
      </c>
      <c r="I45" s="13">
        <f t="shared" si="19"/>
        <v>0</v>
      </c>
      <c r="J45" s="13">
        <f t="shared" si="20"/>
        <v>0</v>
      </c>
      <c r="K45" s="13">
        <v>0</v>
      </c>
      <c r="L45" s="13">
        <f t="shared" si="21"/>
        <v>0</v>
      </c>
      <c r="N45" s="24" t="s">
        <v>11</v>
      </c>
      <c r="O45" s="13">
        <f t="shared" si="22"/>
        <v>0</v>
      </c>
      <c r="Z45" s="13">
        <f t="shared" si="23"/>
        <v>0</v>
      </c>
      <c r="AA45" s="13">
        <f t="shared" si="24"/>
        <v>0</v>
      </c>
      <c r="AB45" s="13">
        <f t="shared" si="25"/>
        <v>0</v>
      </c>
      <c r="AD45" s="13">
        <v>21</v>
      </c>
      <c r="AE45" s="13">
        <f t="shared" si="26"/>
        <v>0</v>
      </c>
      <c r="AF45" s="13">
        <f t="shared" si="27"/>
        <v>0</v>
      </c>
    </row>
    <row r="46" spans="1:32" ht="12.75">
      <c r="A46" s="4" t="s">
        <v>35</v>
      </c>
      <c r="B46" s="4"/>
      <c r="C46" s="4" t="s">
        <v>107</v>
      </c>
      <c r="D46" s="51" t="s">
        <v>183</v>
      </c>
      <c r="E46" s="51" t="s">
        <v>244</v>
      </c>
      <c r="F46" s="52">
        <v>2.05</v>
      </c>
      <c r="G46" s="52"/>
      <c r="H46" s="13">
        <f t="shared" si="18"/>
        <v>0</v>
      </c>
      <c r="I46" s="13">
        <f t="shared" si="19"/>
        <v>0</v>
      </c>
      <c r="J46" s="13">
        <f t="shared" si="20"/>
        <v>0</v>
      </c>
      <c r="K46" s="13">
        <v>0</v>
      </c>
      <c r="L46" s="13">
        <f t="shared" si="21"/>
        <v>0</v>
      </c>
      <c r="N46" s="24" t="s">
        <v>11</v>
      </c>
      <c r="O46" s="13">
        <f t="shared" si="22"/>
        <v>0</v>
      </c>
      <c r="Z46" s="13">
        <f t="shared" si="23"/>
        <v>0</v>
      </c>
      <c r="AA46" s="13">
        <f t="shared" si="24"/>
        <v>0</v>
      </c>
      <c r="AB46" s="13">
        <f t="shared" si="25"/>
        <v>0</v>
      </c>
      <c r="AD46" s="13">
        <v>21</v>
      </c>
      <c r="AE46" s="13">
        <f t="shared" si="26"/>
        <v>0</v>
      </c>
      <c r="AF46" s="13">
        <f t="shared" si="27"/>
        <v>0</v>
      </c>
    </row>
    <row r="47" spans="1:32" ht="12.75">
      <c r="A47" s="4" t="s">
        <v>36</v>
      </c>
      <c r="B47" s="4"/>
      <c r="C47" s="4" t="s">
        <v>108</v>
      </c>
      <c r="D47" s="51" t="s">
        <v>184</v>
      </c>
      <c r="E47" s="51" t="s">
        <v>244</v>
      </c>
      <c r="F47" s="52">
        <v>20.5</v>
      </c>
      <c r="G47" s="52"/>
      <c r="H47" s="13">
        <f t="shared" si="18"/>
        <v>0</v>
      </c>
      <c r="I47" s="13">
        <f t="shared" si="19"/>
        <v>0</v>
      </c>
      <c r="J47" s="13">
        <f t="shared" si="20"/>
        <v>0</v>
      </c>
      <c r="K47" s="13">
        <v>0</v>
      </c>
      <c r="L47" s="13">
        <f t="shared" si="21"/>
        <v>0</v>
      </c>
      <c r="N47" s="24" t="s">
        <v>11</v>
      </c>
      <c r="O47" s="13">
        <f t="shared" si="22"/>
        <v>0</v>
      </c>
      <c r="Z47" s="13">
        <f t="shared" si="23"/>
        <v>0</v>
      </c>
      <c r="AA47" s="13">
        <f t="shared" si="24"/>
        <v>0</v>
      </c>
      <c r="AB47" s="13">
        <f t="shared" si="25"/>
        <v>0</v>
      </c>
      <c r="AD47" s="13">
        <v>21</v>
      </c>
      <c r="AE47" s="13">
        <f t="shared" si="26"/>
        <v>0</v>
      </c>
      <c r="AF47" s="13">
        <f t="shared" si="27"/>
        <v>0</v>
      </c>
    </row>
    <row r="48" spans="1:32" ht="12.75">
      <c r="A48" s="4" t="s">
        <v>37</v>
      </c>
      <c r="B48" s="4"/>
      <c r="C48" s="4" t="s">
        <v>109</v>
      </c>
      <c r="D48" s="51" t="s">
        <v>185</v>
      </c>
      <c r="E48" s="51" t="s">
        <v>244</v>
      </c>
      <c r="F48" s="52">
        <v>2.05</v>
      </c>
      <c r="G48" s="52"/>
      <c r="H48" s="13">
        <f t="shared" si="18"/>
        <v>0</v>
      </c>
      <c r="I48" s="13">
        <f t="shared" si="19"/>
        <v>0</v>
      </c>
      <c r="J48" s="13">
        <f t="shared" si="20"/>
        <v>0</v>
      </c>
      <c r="K48" s="13">
        <v>0</v>
      </c>
      <c r="L48" s="13">
        <f t="shared" si="21"/>
        <v>0</v>
      </c>
      <c r="N48" s="24" t="s">
        <v>11</v>
      </c>
      <c r="O48" s="13">
        <f t="shared" si="22"/>
        <v>0</v>
      </c>
      <c r="Z48" s="13">
        <f t="shared" si="23"/>
        <v>0</v>
      </c>
      <c r="AA48" s="13">
        <f t="shared" si="24"/>
        <v>0</v>
      </c>
      <c r="AB48" s="13">
        <f t="shared" si="25"/>
        <v>0</v>
      </c>
      <c r="AD48" s="13">
        <v>21</v>
      </c>
      <c r="AE48" s="13">
        <f t="shared" si="26"/>
        <v>0</v>
      </c>
      <c r="AF48" s="13">
        <f t="shared" si="27"/>
        <v>0</v>
      </c>
    </row>
    <row r="49" spans="1:32" ht="12.75">
      <c r="A49" s="4" t="s">
        <v>38</v>
      </c>
      <c r="B49" s="4"/>
      <c r="C49" s="4" t="s">
        <v>110</v>
      </c>
      <c r="D49" s="51" t="s">
        <v>186</v>
      </c>
      <c r="E49" s="51" t="s">
        <v>244</v>
      </c>
      <c r="F49" s="52">
        <v>2.05</v>
      </c>
      <c r="G49" s="52"/>
      <c r="H49" s="13">
        <f t="shared" si="18"/>
        <v>0</v>
      </c>
      <c r="I49" s="13">
        <f t="shared" si="19"/>
        <v>0</v>
      </c>
      <c r="J49" s="13">
        <f t="shared" si="20"/>
        <v>0</v>
      </c>
      <c r="K49" s="13">
        <v>0</v>
      </c>
      <c r="L49" s="13">
        <f t="shared" si="21"/>
        <v>0</v>
      </c>
      <c r="N49" s="24" t="s">
        <v>11</v>
      </c>
      <c r="O49" s="13">
        <f t="shared" si="22"/>
        <v>0</v>
      </c>
      <c r="Z49" s="13">
        <f t="shared" si="23"/>
        <v>0</v>
      </c>
      <c r="AA49" s="13">
        <f t="shared" si="24"/>
        <v>0</v>
      </c>
      <c r="AB49" s="13">
        <f t="shared" si="25"/>
        <v>0</v>
      </c>
      <c r="AD49" s="13">
        <v>21</v>
      </c>
      <c r="AE49" s="13">
        <f t="shared" si="26"/>
        <v>0</v>
      </c>
      <c r="AF49" s="13">
        <f t="shared" si="27"/>
        <v>0</v>
      </c>
    </row>
    <row r="50" spans="1:37" ht="12.75">
      <c r="A50" s="5"/>
      <c r="B50" s="5"/>
      <c r="C50" s="11" t="s">
        <v>123</v>
      </c>
      <c r="D50" s="55" t="s">
        <v>199</v>
      </c>
      <c r="E50" s="56"/>
      <c r="F50" s="56"/>
      <c r="G50" s="56"/>
      <c r="H50" s="26">
        <f>SUM(H51:H71)</f>
        <v>0</v>
      </c>
      <c r="I50" s="26">
        <f>SUM(I51:I71)</f>
        <v>0</v>
      </c>
      <c r="J50" s="26">
        <f>H50+I50</f>
        <v>0</v>
      </c>
      <c r="K50" s="21"/>
      <c r="L50" s="26">
        <f>SUM(L51:L71)</f>
        <v>0.2907576</v>
      </c>
      <c r="P50" s="26">
        <f>IF(Q50="PR",J50,SUM(O51:O71))</f>
        <v>0</v>
      </c>
      <c r="Q50" s="21" t="s">
        <v>270</v>
      </c>
      <c r="R50" s="26">
        <f>IF(Q50="HS",H50,0)</f>
        <v>0</v>
      </c>
      <c r="S50" s="26">
        <f>IF(Q50="HS",I50-P50,0)</f>
        <v>0</v>
      </c>
      <c r="T50" s="26">
        <f>IF(Q50="PS",H50,0)</f>
        <v>0</v>
      </c>
      <c r="U50" s="26">
        <f>IF(Q50="PS",I50-P50,0)</f>
        <v>0</v>
      </c>
      <c r="V50" s="26">
        <f>IF(Q50="MP",H50,0)</f>
        <v>0</v>
      </c>
      <c r="W50" s="26">
        <f>IF(Q50="MP",I50-P50,0)</f>
        <v>0</v>
      </c>
      <c r="X50" s="26">
        <f>IF(Q50="OM",H50,0)</f>
        <v>0</v>
      </c>
      <c r="Y50" s="21"/>
      <c r="AI50" s="26">
        <f>SUM(Z51:Z71)</f>
        <v>0</v>
      </c>
      <c r="AJ50" s="26">
        <f>SUM(AA51:AA71)</f>
        <v>0</v>
      </c>
      <c r="AK50" s="26">
        <f>SUM(AB51:AB71)</f>
        <v>0</v>
      </c>
    </row>
    <row r="51" spans="1:32" ht="12.75">
      <c r="A51" s="4" t="s">
        <v>39</v>
      </c>
      <c r="B51" s="4"/>
      <c r="C51" s="4" t="s">
        <v>124</v>
      </c>
      <c r="D51" s="51" t="s">
        <v>200</v>
      </c>
      <c r="E51" s="51" t="s">
        <v>246</v>
      </c>
      <c r="F51" s="52">
        <v>30</v>
      </c>
      <c r="G51" s="52"/>
      <c r="H51" s="13">
        <f aca="true" t="shared" si="28" ref="H51:H71">ROUND(F51*AE51,2)</f>
        <v>0</v>
      </c>
      <c r="I51" s="13">
        <f aca="true" t="shared" si="29" ref="I51:I71">J51-H51</f>
        <v>0</v>
      </c>
      <c r="J51" s="13">
        <f aca="true" t="shared" si="30" ref="J51:J71">ROUND(F51*G51,2)</f>
        <v>0</v>
      </c>
      <c r="K51" s="13">
        <v>0.00096</v>
      </c>
      <c r="L51" s="13">
        <f aca="true" t="shared" si="31" ref="L51:L71">F51*K51</f>
        <v>0.0288</v>
      </c>
      <c r="N51" s="24" t="s">
        <v>7</v>
      </c>
      <c r="O51" s="13">
        <f aca="true" t="shared" si="32" ref="O51:O71">IF(N51="5",I51,0)</f>
        <v>0</v>
      </c>
      <c r="Z51" s="13">
        <f aca="true" t="shared" si="33" ref="Z51:Z71">IF(AD51=0,J51,0)</f>
        <v>0</v>
      </c>
      <c r="AA51" s="13">
        <f aca="true" t="shared" si="34" ref="AA51:AA71">IF(AD51=15,J51,0)</f>
        <v>0</v>
      </c>
      <c r="AB51" s="13">
        <f aca="true" t="shared" si="35" ref="AB51:AB71">IF(AD51=21,J51,0)</f>
        <v>0</v>
      </c>
      <c r="AD51" s="13">
        <v>21</v>
      </c>
      <c r="AE51" s="13">
        <f aca="true" t="shared" si="36" ref="AE51:AE58">G51*0</f>
        <v>0</v>
      </c>
      <c r="AF51" s="13">
        <f aca="true" t="shared" si="37" ref="AF51:AF58">G51*(1-0)</f>
        <v>0</v>
      </c>
    </row>
    <row r="52" spans="1:32" ht="25.5">
      <c r="A52" s="4" t="s">
        <v>40</v>
      </c>
      <c r="B52" s="4"/>
      <c r="C52" s="4" t="s">
        <v>125</v>
      </c>
      <c r="D52" s="51" t="s">
        <v>201</v>
      </c>
      <c r="E52" s="51" t="s">
        <v>245</v>
      </c>
      <c r="F52" s="52">
        <v>31.33</v>
      </c>
      <c r="G52" s="52"/>
      <c r="H52" s="13">
        <f t="shared" si="28"/>
        <v>0</v>
      </c>
      <c r="I52" s="13">
        <f t="shared" si="29"/>
        <v>0</v>
      </c>
      <c r="J52" s="13">
        <f t="shared" si="30"/>
        <v>0</v>
      </c>
      <c r="K52" s="13">
        <v>0.00336</v>
      </c>
      <c r="L52" s="13">
        <f t="shared" si="31"/>
        <v>0.1052688</v>
      </c>
      <c r="N52" s="24" t="s">
        <v>7</v>
      </c>
      <c r="O52" s="13">
        <f t="shared" si="32"/>
        <v>0</v>
      </c>
      <c r="Z52" s="13">
        <f t="shared" si="33"/>
        <v>0</v>
      </c>
      <c r="AA52" s="13">
        <f t="shared" si="34"/>
        <v>0</v>
      </c>
      <c r="AB52" s="13">
        <f t="shared" si="35"/>
        <v>0</v>
      </c>
      <c r="AD52" s="13">
        <v>21</v>
      </c>
      <c r="AE52" s="13">
        <f t="shared" si="36"/>
        <v>0</v>
      </c>
      <c r="AF52" s="13">
        <f t="shared" si="37"/>
        <v>0</v>
      </c>
    </row>
    <row r="53" spans="1:32" ht="12.75">
      <c r="A53" s="4" t="s">
        <v>41</v>
      </c>
      <c r="B53" s="4"/>
      <c r="C53" s="4" t="s">
        <v>126</v>
      </c>
      <c r="D53" s="51" t="s">
        <v>202</v>
      </c>
      <c r="E53" s="51" t="s">
        <v>245</v>
      </c>
      <c r="F53" s="52">
        <v>7.9</v>
      </c>
      <c r="G53" s="52"/>
      <c r="H53" s="13">
        <f t="shared" si="28"/>
        <v>0</v>
      </c>
      <c r="I53" s="13">
        <f t="shared" si="29"/>
        <v>0</v>
      </c>
      <c r="J53" s="13">
        <f t="shared" si="30"/>
        <v>0</v>
      </c>
      <c r="K53" s="13">
        <v>0.00285</v>
      </c>
      <c r="L53" s="13">
        <f t="shared" si="31"/>
        <v>0.022515</v>
      </c>
      <c r="N53" s="24" t="s">
        <v>7</v>
      </c>
      <c r="O53" s="13">
        <f t="shared" si="32"/>
        <v>0</v>
      </c>
      <c r="Z53" s="13">
        <f t="shared" si="33"/>
        <v>0</v>
      </c>
      <c r="AA53" s="13">
        <f t="shared" si="34"/>
        <v>0</v>
      </c>
      <c r="AB53" s="13">
        <f t="shared" si="35"/>
        <v>0</v>
      </c>
      <c r="AD53" s="13">
        <v>21</v>
      </c>
      <c r="AE53" s="13">
        <f t="shared" si="36"/>
        <v>0</v>
      </c>
      <c r="AF53" s="13">
        <f t="shared" si="37"/>
        <v>0</v>
      </c>
    </row>
    <row r="54" spans="1:32" ht="25.5">
      <c r="A54" s="4" t="s">
        <v>42</v>
      </c>
      <c r="B54" s="4"/>
      <c r="C54" s="4" t="s">
        <v>127</v>
      </c>
      <c r="D54" s="51" t="s">
        <v>203</v>
      </c>
      <c r="E54" s="51" t="s">
        <v>245</v>
      </c>
      <c r="F54" s="52">
        <v>7.1</v>
      </c>
      <c r="G54" s="52"/>
      <c r="H54" s="13">
        <f t="shared" si="28"/>
        <v>0</v>
      </c>
      <c r="I54" s="13">
        <f t="shared" si="29"/>
        <v>0</v>
      </c>
      <c r="J54" s="13">
        <f t="shared" si="30"/>
        <v>0</v>
      </c>
      <c r="K54" s="13">
        <v>0.00135</v>
      </c>
      <c r="L54" s="13">
        <f t="shared" si="31"/>
        <v>0.009585</v>
      </c>
      <c r="N54" s="24" t="s">
        <v>7</v>
      </c>
      <c r="O54" s="13">
        <f t="shared" si="32"/>
        <v>0</v>
      </c>
      <c r="Z54" s="13">
        <f t="shared" si="33"/>
        <v>0</v>
      </c>
      <c r="AA54" s="13">
        <f t="shared" si="34"/>
        <v>0</v>
      </c>
      <c r="AB54" s="13">
        <f t="shared" si="35"/>
        <v>0</v>
      </c>
      <c r="AD54" s="13">
        <v>21</v>
      </c>
      <c r="AE54" s="13">
        <f t="shared" si="36"/>
        <v>0</v>
      </c>
      <c r="AF54" s="13">
        <f t="shared" si="37"/>
        <v>0</v>
      </c>
    </row>
    <row r="55" spans="1:32" ht="12.75">
      <c r="A55" s="4" t="s">
        <v>43</v>
      </c>
      <c r="B55" s="4"/>
      <c r="C55" s="4" t="s">
        <v>128</v>
      </c>
      <c r="D55" s="51" t="s">
        <v>204</v>
      </c>
      <c r="E55" s="51" t="s">
        <v>245</v>
      </c>
      <c r="F55" s="52">
        <v>3.12</v>
      </c>
      <c r="G55" s="52"/>
      <c r="H55" s="13">
        <f t="shared" si="28"/>
        <v>0</v>
      </c>
      <c r="I55" s="13">
        <f t="shared" si="29"/>
        <v>0</v>
      </c>
      <c r="J55" s="13">
        <f t="shared" si="30"/>
        <v>0</v>
      </c>
      <c r="K55" s="13">
        <v>0.0023</v>
      </c>
      <c r="L55" s="13">
        <f t="shared" si="31"/>
        <v>0.007176</v>
      </c>
      <c r="N55" s="24" t="s">
        <v>7</v>
      </c>
      <c r="O55" s="13">
        <f t="shared" si="32"/>
        <v>0</v>
      </c>
      <c r="Z55" s="13">
        <f t="shared" si="33"/>
        <v>0</v>
      </c>
      <c r="AA55" s="13">
        <f t="shared" si="34"/>
        <v>0</v>
      </c>
      <c r="AB55" s="13">
        <f t="shared" si="35"/>
        <v>0</v>
      </c>
      <c r="AD55" s="13">
        <v>21</v>
      </c>
      <c r="AE55" s="13">
        <f t="shared" si="36"/>
        <v>0</v>
      </c>
      <c r="AF55" s="13">
        <f t="shared" si="37"/>
        <v>0</v>
      </c>
    </row>
    <row r="56" spans="1:32" ht="12.75">
      <c r="A56" s="4" t="s">
        <v>44</v>
      </c>
      <c r="B56" s="4"/>
      <c r="C56" s="4" t="s">
        <v>129</v>
      </c>
      <c r="D56" s="51" t="s">
        <v>205</v>
      </c>
      <c r="E56" s="51" t="s">
        <v>245</v>
      </c>
      <c r="F56" s="52">
        <v>7.2</v>
      </c>
      <c r="G56" s="52"/>
      <c r="H56" s="13">
        <f t="shared" si="28"/>
        <v>0</v>
      </c>
      <c r="I56" s="13">
        <f t="shared" si="29"/>
        <v>0</v>
      </c>
      <c r="J56" s="13">
        <f t="shared" si="30"/>
        <v>0</v>
      </c>
      <c r="K56" s="13">
        <v>0.00192</v>
      </c>
      <c r="L56" s="13">
        <f t="shared" si="31"/>
        <v>0.013824000000000001</v>
      </c>
      <c r="N56" s="24" t="s">
        <v>7</v>
      </c>
      <c r="O56" s="13">
        <f t="shared" si="32"/>
        <v>0</v>
      </c>
      <c r="Z56" s="13">
        <f t="shared" si="33"/>
        <v>0</v>
      </c>
      <c r="AA56" s="13">
        <f t="shared" si="34"/>
        <v>0</v>
      </c>
      <c r="AB56" s="13">
        <f t="shared" si="35"/>
        <v>0</v>
      </c>
      <c r="AD56" s="13">
        <v>21</v>
      </c>
      <c r="AE56" s="13">
        <f t="shared" si="36"/>
        <v>0</v>
      </c>
      <c r="AF56" s="13">
        <f t="shared" si="37"/>
        <v>0</v>
      </c>
    </row>
    <row r="57" spans="1:32" ht="12.75">
      <c r="A57" s="4" t="s">
        <v>45</v>
      </c>
      <c r="B57" s="4"/>
      <c r="C57" s="4" t="s">
        <v>130</v>
      </c>
      <c r="D57" s="51" t="s">
        <v>206</v>
      </c>
      <c r="E57" s="51" t="s">
        <v>245</v>
      </c>
      <c r="F57" s="52">
        <v>5.2</v>
      </c>
      <c r="G57" s="52"/>
      <c r="H57" s="13">
        <f t="shared" si="28"/>
        <v>0</v>
      </c>
      <c r="I57" s="13">
        <f t="shared" si="29"/>
        <v>0</v>
      </c>
      <c r="J57" s="13">
        <f t="shared" si="30"/>
        <v>0</v>
      </c>
      <c r="K57" s="13">
        <v>0.00298</v>
      </c>
      <c r="L57" s="13">
        <f t="shared" si="31"/>
        <v>0.015496000000000001</v>
      </c>
      <c r="N57" s="24" t="s">
        <v>7</v>
      </c>
      <c r="O57" s="13">
        <f t="shared" si="32"/>
        <v>0</v>
      </c>
      <c r="Z57" s="13">
        <f t="shared" si="33"/>
        <v>0</v>
      </c>
      <c r="AA57" s="13">
        <f t="shared" si="34"/>
        <v>0</v>
      </c>
      <c r="AB57" s="13">
        <f t="shared" si="35"/>
        <v>0</v>
      </c>
      <c r="AD57" s="13">
        <v>21</v>
      </c>
      <c r="AE57" s="13">
        <f t="shared" si="36"/>
        <v>0</v>
      </c>
      <c r="AF57" s="13">
        <f t="shared" si="37"/>
        <v>0</v>
      </c>
    </row>
    <row r="58" spans="1:32" ht="12.75">
      <c r="A58" s="4" t="s">
        <v>46</v>
      </c>
      <c r="B58" s="4"/>
      <c r="C58" s="4" t="s">
        <v>131</v>
      </c>
      <c r="D58" s="51" t="s">
        <v>207</v>
      </c>
      <c r="E58" s="51" t="s">
        <v>246</v>
      </c>
      <c r="F58" s="52">
        <v>30</v>
      </c>
      <c r="G58" s="52"/>
      <c r="H58" s="13">
        <f t="shared" si="28"/>
        <v>0</v>
      </c>
      <c r="I58" s="13">
        <f t="shared" si="29"/>
        <v>0</v>
      </c>
      <c r="J58" s="13">
        <f t="shared" si="30"/>
        <v>0</v>
      </c>
      <c r="K58" s="13">
        <v>6E-05</v>
      </c>
      <c r="L58" s="13">
        <f t="shared" si="31"/>
        <v>0.0018</v>
      </c>
      <c r="N58" s="24" t="s">
        <v>7</v>
      </c>
      <c r="O58" s="13">
        <f t="shared" si="32"/>
        <v>0</v>
      </c>
      <c r="Z58" s="13">
        <f t="shared" si="33"/>
        <v>0</v>
      </c>
      <c r="AA58" s="13">
        <f t="shared" si="34"/>
        <v>0</v>
      </c>
      <c r="AB58" s="13">
        <f t="shared" si="35"/>
        <v>0</v>
      </c>
      <c r="AD58" s="13">
        <v>21</v>
      </c>
      <c r="AE58" s="13">
        <f t="shared" si="36"/>
        <v>0</v>
      </c>
      <c r="AF58" s="13">
        <f t="shared" si="37"/>
        <v>0</v>
      </c>
    </row>
    <row r="59" spans="1:32" ht="25.5">
      <c r="A59" s="4" t="s">
        <v>47</v>
      </c>
      <c r="B59" s="4"/>
      <c r="C59" s="4" t="s">
        <v>132</v>
      </c>
      <c r="D59" s="51" t="s">
        <v>208</v>
      </c>
      <c r="E59" s="51" t="s">
        <v>245</v>
      </c>
      <c r="F59" s="52">
        <v>31.33</v>
      </c>
      <c r="G59" s="52"/>
      <c r="H59" s="13">
        <f t="shared" si="28"/>
        <v>0</v>
      </c>
      <c r="I59" s="13">
        <f t="shared" si="29"/>
        <v>0</v>
      </c>
      <c r="J59" s="13">
        <f t="shared" si="30"/>
        <v>0</v>
      </c>
      <c r="K59" s="13">
        <v>4E-05</v>
      </c>
      <c r="L59" s="13">
        <f t="shared" si="31"/>
        <v>0.0012532</v>
      </c>
      <c r="N59" s="24" t="s">
        <v>7</v>
      </c>
      <c r="O59" s="13">
        <f t="shared" si="32"/>
        <v>0</v>
      </c>
      <c r="Z59" s="13">
        <f t="shared" si="33"/>
        <v>0</v>
      </c>
      <c r="AA59" s="13">
        <f t="shared" si="34"/>
        <v>0</v>
      </c>
      <c r="AB59" s="13">
        <f t="shared" si="35"/>
        <v>0</v>
      </c>
      <c r="AD59" s="13">
        <v>21</v>
      </c>
      <c r="AE59" s="13">
        <f>G59*0.140837603816929</f>
        <v>0</v>
      </c>
      <c r="AF59" s="13">
        <f>G59*(1-0.140837603816929)</f>
        <v>0</v>
      </c>
    </row>
    <row r="60" spans="1:32" ht="25.5">
      <c r="A60" s="4" t="s">
        <v>48</v>
      </c>
      <c r="B60" s="4"/>
      <c r="C60" s="4" t="s">
        <v>133</v>
      </c>
      <c r="D60" s="51" t="s">
        <v>209</v>
      </c>
      <c r="E60" s="51" t="s">
        <v>245</v>
      </c>
      <c r="F60" s="52">
        <v>7.9</v>
      </c>
      <c r="G60" s="52"/>
      <c r="H60" s="13">
        <f t="shared" si="28"/>
        <v>0</v>
      </c>
      <c r="I60" s="13">
        <f t="shared" si="29"/>
        <v>0</v>
      </c>
      <c r="J60" s="13">
        <f t="shared" si="30"/>
        <v>0</v>
      </c>
      <c r="K60" s="13">
        <v>7E-05</v>
      </c>
      <c r="L60" s="13">
        <f t="shared" si="31"/>
        <v>0.000553</v>
      </c>
      <c r="N60" s="24" t="s">
        <v>7</v>
      </c>
      <c r="O60" s="13">
        <f t="shared" si="32"/>
        <v>0</v>
      </c>
      <c r="Z60" s="13">
        <f t="shared" si="33"/>
        <v>0</v>
      </c>
      <c r="AA60" s="13">
        <f t="shared" si="34"/>
        <v>0</v>
      </c>
      <c r="AB60" s="13">
        <f t="shared" si="35"/>
        <v>0</v>
      </c>
      <c r="AD60" s="13">
        <v>21</v>
      </c>
      <c r="AE60" s="13">
        <f>G60*0.227428954648336</f>
        <v>0</v>
      </c>
      <c r="AF60" s="13">
        <f>G60*(1-0.227428954648336)</f>
        <v>0</v>
      </c>
    </row>
    <row r="61" spans="1:32" ht="12.75">
      <c r="A61" s="4" t="s">
        <v>49</v>
      </c>
      <c r="B61" s="4"/>
      <c r="C61" s="4" t="s">
        <v>134</v>
      </c>
      <c r="D61" s="51" t="s">
        <v>210</v>
      </c>
      <c r="E61" s="51" t="s">
        <v>245</v>
      </c>
      <c r="F61" s="52">
        <v>7.1</v>
      </c>
      <c r="G61" s="52"/>
      <c r="H61" s="13">
        <f t="shared" si="28"/>
        <v>0</v>
      </c>
      <c r="I61" s="13">
        <f t="shared" si="29"/>
        <v>0</v>
      </c>
      <c r="J61" s="13">
        <f t="shared" si="30"/>
        <v>0</v>
      </c>
      <c r="K61" s="13">
        <v>0.00303</v>
      </c>
      <c r="L61" s="13">
        <f t="shared" si="31"/>
        <v>0.021513</v>
      </c>
      <c r="N61" s="24" t="s">
        <v>7</v>
      </c>
      <c r="O61" s="13">
        <f t="shared" si="32"/>
        <v>0</v>
      </c>
      <c r="Z61" s="13">
        <f t="shared" si="33"/>
        <v>0</v>
      </c>
      <c r="AA61" s="13">
        <f t="shared" si="34"/>
        <v>0</v>
      </c>
      <c r="AB61" s="13">
        <f t="shared" si="35"/>
        <v>0</v>
      </c>
      <c r="AD61" s="13">
        <v>21</v>
      </c>
      <c r="AE61" s="13">
        <f>G61*0.732225479033938</f>
        <v>0</v>
      </c>
      <c r="AF61" s="13">
        <f>G61*(1-0.732225479033938)</f>
        <v>0</v>
      </c>
    </row>
    <row r="62" spans="1:32" ht="12.75">
      <c r="A62" s="4" t="s">
        <v>50</v>
      </c>
      <c r="B62" s="4"/>
      <c r="C62" s="4" t="s">
        <v>135</v>
      </c>
      <c r="D62" s="51" t="s">
        <v>211</v>
      </c>
      <c r="E62" s="51" t="s">
        <v>245</v>
      </c>
      <c r="F62" s="52">
        <v>3.12</v>
      </c>
      <c r="G62" s="52"/>
      <c r="H62" s="13">
        <f t="shared" si="28"/>
        <v>0</v>
      </c>
      <c r="I62" s="13">
        <f t="shared" si="29"/>
        <v>0</v>
      </c>
      <c r="J62" s="13">
        <f t="shared" si="30"/>
        <v>0</v>
      </c>
      <c r="K62" s="13">
        <v>0.00293</v>
      </c>
      <c r="L62" s="13">
        <f t="shared" si="31"/>
        <v>0.0091416</v>
      </c>
      <c r="N62" s="24" t="s">
        <v>7</v>
      </c>
      <c r="O62" s="13">
        <f t="shared" si="32"/>
        <v>0</v>
      </c>
      <c r="Z62" s="13">
        <f t="shared" si="33"/>
        <v>0</v>
      </c>
      <c r="AA62" s="13">
        <f t="shared" si="34"/>
        <v>0</v>
      </c>
      <c r="AB62" s="13">
        <f t="shared" si="35"/>
        <v>0</v>
      </c>
      <c r="AD62" s="13">
        <v>21</v>
      </c>
      <c r="AE62" s="13">
        <f>G62*0.765711807908073</f>
        <v>0</v>
      </c>
      <c r="AF62" s="13">
        <f>G62*(1-0.765711807908073)</f>
        <v>0</v>
      </c>
    </row>
    <row r="63" spans="1:32" ht="12.75">
      <c r="A63" s="4" t="s">
        <v>51</v>
      </c>
      <c r="B63" s="4"/>
      <c r="C63" s="4" t="s">
        <v>136</v>
      </c>
      <c r="D63" s="51" t="s">
        <v>212</v>
      </c>
      <c r="E63" s="51" t="s">
        <v>245</v>
      </c>
      <c r="F63" s="52">
        <v>7.2</v>
      </c>
      <c r="G63" s="52"/>
      <c r="H63" s="13">
        <f t="shared" si="28"/>
        <v>0</v>
      </c>
      <c r="I63" s="13">
        <f t="shared" si="29"/>
        <v>0</v>
      </c>
      <c r="J63" s="13">
        <f t="shared" si="30"/>
        <v>0</v>
      </c>
      <c r="K63" s="13">
        <v>0.0031</v>
      </c>
      <c r="L63" s="13">
        <f t="shared" si="31"/>
        <v>0.02232</v>
      </c>
      <c r="N63" s="24" t="s">
        <v>7</v>
      </c>
      <c r="O63" s="13">
        <f t="shared" si="32"/>
        <v>0</v>
      </c>
      <c r="Z63" s="13">
        <f t="shared" si="33"/>
        <v>0</v>
      </c>
      <c r="AA63" s="13">
        <f t="shared" si="34"/>
        <v>0</v>
      </c>
      <c r="AB63" s="13">
        <f t="shared" si="35"/>
        <v>0</v>
      </c>
      <c r="AD63" s="13">
        <v>21</v>
      </c>
      <c r="AE63" s="13">
        <f>G63*0.767225041266736</f>
        <v>0</v>
      </c>
      <c r="AF63" s="13">
        <f>G63*(1-0.767225041266736)</f>
        <v>0</v>
      </c>
    </row>
    <row r="64" spans="1:32" ht="12.75">
      <c r="A64" s="4" t="s">
        <v>52</v>
      </c>
      <c r="B64" s="4"/>
      <c r="C64" s="4" t="s">
        <v>137</v>
      </c>
      <c r="D64" s="51" t="s">
        <v>213</v>
      </c>
      <c r="E64" s="51" t="s">
        <v>245</v>
      </c>
      <c r="F64" s="52">
        <v>5.2</v>
      </c>
      <c r="G64" s="52"/>
      <c r="H64" s="13">
        <f t="shared" si="28"/>
        <v>0</v>
      </c>
      <c r="I64" s="13">
        <f t="shared" si="29"/>
        <v>0</v>
      </c>
      <c r="J64" s="13">
        <f t="shared" si="30"/>
        <v>0</v>
      </c>
      <c r="K64" s="13">
        <v>0.00606</v>
      </c>
      <c r="L64" s="13">
        <f t="shared" si="31"/>
        <v>0.031512000000000005</v>
      </c>
      <c r="N64" s="24" t="s">
        <v>9</v>
      </c>
      <c r="O64" s="13">
        <f t="shared" si="32"/>
        <v>0</v>
      </c>
      <c r="Z64" s="13">
        <f t="shared" si="33"/>
        <v>0</v>
      </c>
      <c r="AA64" s="13">
        <f t="shared" si="34"/>
        <v>0</v>
      </c>
      <c r="AB64" s="13">
        <f t="shared" si="35"/>
        <v>0</v>
      </c>
      <c r="AD64" s="13">
        <v>21</v>
      </c>
      <c r="AE64" s="13">
        <f>G64*0.786650369518937</f>
        <v>0</v>
      </c>
      <c r="AF64" s="13">
        <f>G64*(1-0.786650369518937)</f>
        <v>0</v>
      </c>
    </row>
    <row r="65" spans="1:32" ht="12.75">
      <c r="A65" s="4" t="s">
        <v>53</v>
      </c>
      <c r="B65" s="4"/>
      <c r="C65" s="4" t="s">
        <v>138</v>
      </c>
      <c r="D65" s="51" t="s">
        <v>214</v>
      </c>
      <c r="E65" s="51" t="s">
        <v>244</v>
      </c>
      <c r="F65" s="52">
        <v>0.09</v>
      </c>
      <c r="G65" s="52"/>
      <c r="H65" s="13">
        <f t="shared" si="28"/>
        <v>0</v>
      </c>
      <c r="I65" s="13">
        <f t="shared" si="29"/>
        <v>0</v>
      </c>
      <c r="J65" s="13">
        <f t="shared" si="30"/>
        <v>0</v>
      </c>
      <c r="K65" s="13">
        <v>0</v>
      </c>
      <c r="L65" s="13">
        <f t="shared" si="31"/>
        <v>0</v>
      </c>
      <c r="N65" s="24" t="s">
        <v>11</v>
      </c>
      <c r="O65" s="13">
        <f t="shared" si="32"/>
        <v>0</v>
      </c>
      <c r="Z65" s="13">
        <f t="shared" si="33"/>
        <v>0</v>
      </c>
      <c r="AA65" s="13">
        <f t="shared" si="34"/>
        <v>0</v>
      </c>
      <c r="AB65" s="13">
        <f t="shared" si="35"/>
        <v>0</v>
      </c>
      <c r="AD65" s="13">
        <v>21</v>
      </c>
      <c r="AE65" s="13">
        <f aca="true" t="shared" si="38" ref="AE65:AE71">G65*0</f>
        <v>0</v>
      </c>
      <c r="AF65" s="13">
        <f aca="true" t="shared" si="39" ref="AF65:AF71">G65*(1-0)</f>
        <v>0</v>
      </c>
    </row>
    <row r="66" spans="1:32" ht="12.75">
      <c r="A66" s="4" t="s">
        <v>54</v>
      </c>
      <c r="B66" s="4"/>
      <c r="C66" s="4" t="s">
        <v>121</v>
      </c>
      <c r="D66" s="51" t="s">
        <v>197</v>
      </c>
      <c r="E66" s="51" t="s">
        <v>244</v>
      </c>
      <c r="F66" s="52">
        <v>0.2</v>
      </c>
      <c r="G66" s="52"/>
      <c r="H66" s="13">
        <f t="shared" si="28"/>
        <v>0</v>
      </c>
      <c r="I66" s="13">
        <f t="shared" si="29"/>
        <v>0</v>
      </c>
      <c r="J66" s="13">
        <f t="shared" si="30"/>
        <v>0</v>
      </c>
      <c r="K66" s="13">
        <v>0</v>
      </c>
      <c r="L66" s="13">
        <f t="shared" si="31"/>
        <v>0</v>
      </c>
      <c r="N66" s="24" t="s">
        <v>11</v>
      </c>
      <c r="O66" s="13">
        <f t="shared" si="32"/>
        <v>0</v>
      </c>
      <c r="Z66" s="13">
        <f t="shared" si="33"/>
        <v>0</v>
      </c>
      <c r="AA66" s="13">
        <f t="shared" si="34"/>
        <v>0</v>
      </c>
      <c r="AB66" s="13">
        <f t="shared" si="35"/>
        <v>0</v>
      </c>
      <c r="AD66" s="13">
        <v>21</v>
      </c>
      <c r="AE66" s="13">
        <f t="shared" si="38"/>
        <v>0</v>
      </c>
      <c r="AF66" s="13">
        <f t="shared" si="39"/>
        <v>0</v>
      </c>
    </row>
    <row r="67" spans="1:32" ht="12.75">
      <c r="A67" s="4" t="s">
        <v>55</v>
      </c>
      <c r="B67" s="4"/>
      <c r="C67" s="4" t="s">
        <v>122</v>
      </c>
      <c r="D67" s="51" t="s">
        <v>198</v>
      </c>
      <c r="E67" s="51" t="s">
        <v>244</v>
      </c>
      <c r="F67" s="52">
        <v>0.2</v>
      </c>
      <c r="G67" s="52"/>
      <c r="H67" s="13">
        <f t="shared" si="28"/>
        <v>0</v>
      </c>
      <c r="I67" s="13">
        <f t="shared" si="29"/>
        <v>0</v>
      </c>
      <c r="J67" s="13">
        <f t="shared" si="30"/>
        <v>0</v>
      </c>
      <c r="K67" s="13">
        <v>0</v>
      </c>
      <c r="L67" s="13">
        <f t="shared" si="31"/>
        <v>0</v>
      </c>
      <c r="N67" s="24" t="s">
        <v>11</v>
      </c>
      <c r="O67" s="13">
        <f t="shared" si="32"/>
        <v>0</v>
      </c>
      <c r="Z67" s="13">
        <f t="shared" si="33"/>
        <v>0</v>
      </c>
      <c r="AA67" s="13">
        <f t="shared" si="34"/>
        <v>0</v>
      </c>
      <c r="AB67" s="13">
        <f t="shared" si="35"/>
        <v>0</v>
      </c>
      <c r="AD67" s="13">
        <v>21</v>
      </c>
      <c r="AE67" s="13">
        <f t="shared" si="38"/>
        <v>0</v>
      </c>
      <c r="AF67" s="13">
        <f t="shared" si="39"/>
        <v>0</v>
      </c>
    </row>
    <row r="68" spans="1:32" ht="12.75">
      <c r="A68" s="4" t="s">
        <v>56</v>
      </c>
      <c r="B68" s="4"/>
      <c r="C68" s="4" t="s">
        <v>107</v>
      </c>
      <c r="D68" s="51" t="s">
        <v>183</v>
      </c>
      <c r="E68" s="51" t="s">
        <v>244</v>
      </c>
      <c r="F68" s="52">
        <v>0.2</v>
      </c>
      <c r="G68" s="52"/>
      <c r="H68" s="13">
        <f t="shared" si="28"/>
        <v>0</v>
      </c>
      <c r="I68" s="13">
        <f t="shared" si="29"/>
        <v>0</v>
      </c>
      <c r="J68" s="13">
        <f t="shared" si="30"/>
        <v>0</v>
      </c>
      <c r="K68" s="13">
        <v>0</v>
      </c>
      <c r="L68" s="13">
        <f t="shared" si="31"/>
        <v>0</v>
      </c>
      <c r="N68" s="24" t="s">
        <v>11</v>
      </c>
      <c r="O68" s="13">
        <f t="shared" si="32"/>
        <v>0</v>
      </c>
      <c r="Z68" s="13">
        <f t="shared" si="33"/>
        <v>0</v>
      </c>
      <c r="AA68" s="13">
        <f t="shared" si="34"/>
        <v>0</v>
      </c>
      <c r="AB68" s="13">
        <f t="shared" si="35"/>
        <v>0</v>
      </c>
      <c r="AD68" s="13">
        <v>21</v>
      </c>
      <c r="AE68" s="13">
        <f t="shared" si="38"/>
        <v>0</v>
      </c>
      <c r="AF68" s="13">
        <f t="shared" si="39"/>
        <v>0</v>
      </c>
    </row>
    <row r="69" spans="1:32" ht="12.75">
      <c r="A69" s="4" t="s">
        <v>57</v>
      </c>
      <c r="B69" s="4"/>
      <c r="C69" s="4" t="s">
        <v>108</v>
      </c>
      <c r="D69" s="51" t="s">
        <v>184</v>
      </c>
      <c r="E69" s="51" t="s">
        <v>244</v>
      </c>
      <c r="F69" s="52">
        <v>2</v>
      </c>
      <c r="G69" s="52"/>
      <c r="H69" s="13">
        <f t="shared" si="28"/>
        <v>0</v>
      </c>
      <c r="I69" s="13">
        <f t="shared" si="29"/>
        <v>0</v>
      </c>
      <c r="J69" s="13">
        <f t="shared" si="30"/>
        <v>0</v>
      </c>
      <c r="K69" s="13">
        <v>0</v>
      </c>
      <c r="L69" s="13">
        <f t="shared" si="31"/>
        <v>0</v>
      </c>
      <c r="N69" s="24" t="s">
        <v>11</v>
      </c>
      <c r="O69" s="13">
        <f t="shared" si="32"/>
        <v>0</v>
      </c>
      <c r="Z69" s="13">
        <f t="shared" si="33"/>
        <v>0</v>
      </c>
      <c r="AA69" s="13">
        <f t="shared" si="34"/>
        <v>0</v>
      </c>
      <c r="AB69" s="13">
        <f t="shared" si="35"/>
        <v>0</v>
      </c>
      <c r="AD69" s="13">
        <v>21</v>
      </c>
      <c r="AE69" s="13">
        <f t="shared" si="38"/>
        <v>0</v>
      </c>
      <c r="AF69" s="13">
        <f t="shared" si="39"/>
        <v>0</v>
      </c>
    </row>
    <row r="70" spans="1:32" ht="12.75">
      <c r="A70" s="4" t="s">
        <v>58</v>
      </c>
      <c r="B70" s="4"/>
      <c r="C70" s="4" t="s">
        <v>109</v>
      </c>
      <c r="D70" s="51" t="s">
        <v>185</v>
      </c>
      <c r="E70" s="51" t="s">
        <v>244</v>
      </c>
      <c r="F70" s="52">
        <v>0.2</v>
      </c>
      <c r="G70" s="52"/>
      <c r="H70" s="13">
        <f t="shared" si="28"/>
        <v>0</v>
      </c>
      <c r="I70" s="13">
        <f t="shared" si="29"/>
        <v>0</v>
      </c>
      <c r="J70" s="13">
        <f t="shared" si="30"/>
        <v>0</v>
      </c>
      <c r="K70" s="13">
        <v>0</v>
      </c>
      <c r="L70" s="13">
        <f t="shared" si="31"/>
        <v>0</v>
      </c>
      <c r="N70" s="24" t="s">
        <v>11</v>
      </c>
      <c r="O70" s="13">
        <f t="shared" si="32"/>
        <v>0</v>
      </c>
      <c r="Z70" s="13">
        <f t="shared" si="33"/>
        <v>0</v>
      </c>
      <c r="AA70" s="13">
        <f t="shared" si="34"/>
        <v>0</v>
      </c>
      <c r="AB70" s="13">
        <f t="shared" si="35"/>
        <v>0</v>
      </c>
      <c r="AD70" s="13">
        <v>21</v>
      </c>
      <c r="AE70" s="13">
        <f t="shared" si="38"/>
        <v>0</v>
      </c>
      <c r="AF70" s="13">
        <f t="shared" si="39"/>
        <v>0</v>
      </c>
    </row>
    <row r="71" spans="1:32" ht="12.75">
      <c r="A71" s="4" t="s">
        <v>59</v>
      </c>
      <c r="B71" s="4"/>
      <c r="C71" s="4" t="s">
        <v>110</v>
      </c>
      <c r="D71" s="51" t="s">
        <v>186</v>
      </c>
      <c r="E71" s="51" t="s">
        <v>244</v>
      </c>
      <c r="F71" s="52">
        <v>0.2</v>
      </c>
      <c r="G71" s="52"/>
      <c r="H71" s="13">
        <f t="shared" si="28"/>
        <v>0</v>
      </c>
      <c r="I71" s="13">
        <f t="shared" si="29"/>
        <v>0</v>
      </c>
      <c r="J71" s="13">
        <f t="shared" si="30"/>
        <v>0</v>
      </c>
      <c r="K71" s="13">
        <v>0</v>
      </c>
      <c r="L71" s="13">
        <f t="shared" si="31"/>
        <v>0</v>
      </c>
      <c r="N71" s="24" t="s">
        <v>11</v>
      </c>
      <c r="O71" s="13">
        <f t="shared" si="32"/>
        <v>0</v>
      </c>
      <c r="Z71" s="13">
        <f t="shared" si="33"/>
        <v>0</v>
      </c>
      <c r="AA71" s="13">
        <f t="shared" si="34"/>
        <v>0</v>
      </c>
      <c r="AB71" s="13">
        <f t="shared" si="35"/>
        <v>0</v>
      </c>
      <c r="AD71" s="13">
        <v>21</v>
      </c>
      <c r="AE71" s="13">
        <f t="shared" si="38"/>
        <v>0</v>
      </c>
      <c r="AF71" s="13">
        <f t="shared" si="39"/>
        <v>0</v>
      </c>
    </row>
    <row r="72" spans="1:37" ht="12.75">
      <c r="A72" s="5"/>
      <c r="B72" s="5"/>
      <c r="C72" s="11" t="s">
        <v>139</v>
      </c>
      <c r="D72" s="55" t="s">
        <v>215</v>
      </c>
      <c r="E72" s="56"/>
      <c r="F72" s="56"/>
      <c r="G72" s="56"/>
      <c r="H72" s="26">
        <f>SUM(H73:H88)</f>
        <v>0</v>
      </c>
      <c r="I72" s="26">
        <f>SUM(I73:I88)</f>
        <v>0</v>
      </c>
      <c r="J72" s="26">
        <f>H72+I72</f>
        <v>0</v>
      </c>
      <c r="K72" s="21"/>
      <c r="L72" s="26">
        <f>SUM(L73:L88)</f>
        <v>22.0686145</v>
      </c>
      <c r="P72" s="26">
        <f>IF(Q72="PR",J72,SUM(O73:O88))</f>
        <v>0</v>
      </c>
      <c r="Q72" s="21" t="s">
        <v>270</v>
      </c>
      <c r="R72" s="26">
        <f>IF(Q72="HS",H72,0)</f>
        <v>0</v>
      </c>
      <c r="S72" s="26">
        <f>IF(Q72="HS",I72-P72,0)</f>
        <v>0</v>
      </c>
      <c r="T72" s="26">
        <f>IF(Q72="PS",H72,0)</f>
        <v>0</v>
      </c>
      <c r="U72" s="26">
        <f>IF(Q72="PS",I72-P72,0)</f>
        <v>0</v>
      </c>
      <c r="V72" s="26">
        <f>IF(Q72="MP",H72,0)</f>
        <v>0</v>
      </c>
      <c r="W72" s="26">
        <f>IF(Q72="MP",I72-P72,0)</f>
        <v>0</v>
      </c>
      <c r="X72" s="26">
        <f>IF(Q72="OM",H72,0)</f>
        <v>0</v>
      </c>
      <c r="Y72" s="21"/>
      <c r="AI72" s="26">
        <f>SUM(Z73:Z88)</f>
        <v>0</v>
      </c>
      <c r="AJ72" s="26">
        <f>SUM(AA73:AA88)</f>
        <v>0</v>
      </c>
      <c r="AK72" s="26">
        <f>SUM(AB73:AB88)</f>
        <v>0</v>
      </c>
    </row>
    <row r="73" spans="1:32" ht="12.75">
      <c r="A73" s="4" t="s">
        <v>60</v>
      </c>
      <c r="B73" s="4"/>
      <c r="C73" s="4" t="s">
        <v>140</v>
      </c>
      <c r="D73" s="51" t="s">
        <v>216</v>
      </c>
      <c r="E73" s="51" t="s">
        <v>241</v>
      </c>
      <c r="F73" s="52">
        <v>135.01</v>
      </c>
      <c r="G73" s="52"/>
      <c r="H73" s="13">
        <f aca="true" t="shared" si="40" ref="H73:H88">ROUND(F73*AE73,2)</f>
        <v>0</v>
      </c>
      <c r="I73" s="13">
        <f aca="true" t="shared" si="41" ref="I73:I88">J73-H73</f>
        <v>0</v>
      </c>
      <c r="J73" s="13">
        <f aca="true" t="shared" si="42" ref="J73:J88">ROUND(F73*G73,2)</f>
        <v>0</v>
      </c>
      <c r="K73" s="13">
        <v>0.067</v>
      </c>
      <c r="L73" s="13">
        <f aca="true" t="shared" si="43" ref="L73:L88">F73*K73</f>
        <v>9.04567</v>
      </c>
      <c r="N73" s="24" t="s">
        <v>7</v>
      </c>
      <c r="O73" s="13">
        <f aca="true" t="shared" si="44" ref="O73:O88">IF(N73="5",I73,0)</f>
        <v>0</v>
      </c>
      <c r="Z73" s="13">
        <f aca="true" t="shared" si="45" ref="Z73:Z88">IF(AD73=0,J73,0)</f>
        <v>0</v>
      </c>
      <c r="AA73" s="13">
        <f aca="true" t="shared" si="46" ref="AA73:AA88">IF(AD73=15,J73,0)</f>
        <v>0</v>
      </c>
      <c r="AB73" s="13">
        <f aca="true" t="shared" si="47" ref="AB73:AB88">IF(AD73=21,J73,0)</f>
        <v>0</v>
      </c>
      <c r="AD73" s="13">
        <v>21</v>
      </c>
      <c r="AE73" s="13">
        <f>G73*0</f>
        <v>0</v>
      </c>
      <c r="AF73" s="13">
        <f>G73*(1-0)</f>
        <v>0</v>
      </c>
    </row>
    <row r="74" spans="1:32" ht="25.5">
      <c r="A74" s="4" t="s">
        <v>61</v>
      </c>
      <c r="B74" s="4"/>
      <c r="C74" s="4" t="s">
        <v>141</v>
      </c>
      <c r="D74" s="51" t="s">
        <v>217</v>
      </c>
      <c r="E74" s="51" t="s">
        <v>245</v>
      </c>
      <c r="F74" s="52">
        <v>30.95</v>
      </c>
      <c r="G74" s="52"/>
      <c r="H74" s="13">
        <f t="shared" si="40"/>
        <v>0</v>
      </c>
      <c r="I74" s="13">
        <f t="shared" si="41"/>
        <v>0</v>
      </c>
      <c r="J74" s="13">
        <f t="shared" si="42"/>
        <v>0</v>
      </c>
      <c r="K74" s="13">
        <v>0.04</v>
      </c>
      <c r="L74" s="13">
        <f t="shared" si="43"/>
        <v>1.238</v>
      </c>
      <c r="N74" s="24" t="s">
        <v>7</v>
      </c>
      <c r="O74" s="13">
        <f t="shared" si="44"/>
        <v>0</v>
      </c>
      <c r="Z74" s="13">
        <f t="shared" si="45"/>
        <v>0</v>
      </c>
      <c r="AA74" s="13">
        <f t="shared" si="46"/>
        <v>0</v>
      </c>
      <c r="AB74" s="13">
        <f t="shared" si="47"/>
        <v>0</v>
      </c>
      <c r="AD74" s="13">
        <v>21</v>
      </c>
      <c r="AE74" s="13">
        <f>G74*0</f>
        <v>0</v>
      </c>
      <c r="AF74" s="13">
        <f>G74*(1-0)</f>
        <v>0</v>
      </c>
    </row>
    <row r="75" spans="1:32" ht="12.75">
      <c r="A75" s="4" t="s">
        <v>62</v>
      </c>
      <c r="B75" s="4"/>
      <c r="C75" s="4" t="s">
        <v>142</v>
      </c>
      <c r="D75" s="51" t="s">
        <v>218</v>
      </c>
      <c r="E75" s="51" t="s">
        <v>241</v>
      </c>
      <c r="F75" s="52">
        <v>135.01</v>
      </c>
      <c r="G75" s="52"/>
      <c r="H75" s="13">
        <f t="shared" si="40"/>
        <v>0</v>
      </c>
      <c r="I75" s="13">
        <f t="shared" si="41"/>
        <v>0</v>
      </c>
      <c r="J75" s="13">
        <f t="shared" si="42"/>
        <v>0</v>
      </c>
      <c r="K75" s="13">
        <v>3E-05</v>
      </c>
      <c r="L75" s="13">
        <f t="shared" si="43"/>
        <v>0.0040503</v>
      </c>
      <c r="N75" s="24" t="s">
        <v>7</v>
      </c>
      <c r="O75" s="13">
        <f t="shared" si="44"/>
        <v>0</v>
      </c>
      <c r="Z75" s="13">
        <f t="shared" si="45"/>
        <v>0</v>
      </c>
      <c r="AA75" s="13">
        <f t="shared" si="46"/>
        <v>0</v>
      </c>
      <c r="AB75" s="13">
        <f t="shared" si="47"/>
        <v>0</v>
      </c>
      <c r="AD75" s="13">
        <v>21</v>
      </c>
      <c r="AE75" s="13">
        <f>G75*0.147075743048897</f>
        <v>0</v>
      </c>
      <c r="AF75" s="13">
        <f>G75*(1-0.147075743048897)</f>
        <v>0</v>
      </c>
    </row>
    <row r="76" spans="1:32" ht="12.75">
      <c r="A76" s="4" t="s">
        <v>63</v>
      </c>
      <c r="B76" s="4"/>
      <c r="C76" s="4" t="s">
        <v>143</v>
      </c>
      <c r="D76" s="51" t="s">
        <v>219</v>
      </c>
      <c r="E76" s="51" t="s">
        <v>241</v>
      </c>
      <c r="F76" s="52">
        <v>148.51</v>
      </c>
      <c r="G76" s="52"/>
      <c r="H76" s="13">
        <f t="shared" si="40"/>
        <v>0</v>
      </c>
      <c r="I76" s="13">
        <f t="shared" si="41"/>
        <v>0</v>
      </c>
      <c r="J76" s="13">
        <f t="shared" si="42"/>
        <v>0</v>
      </c>
      <c r="K76" s="13">
        <v>0.00014</v>
      </c>
      <c r="L76" s="13">
        <f t="shared" si="43"/>
        <v>0.020791399999999998</v>
      </c>
      <c r="N76" s="24" t="s">
        <v>265</v>
      </c>
      <c r="O76" s="13">
        <f t="shared" si="44"/>
        <v>0</v>
      </c>
      <c r="Z76" s="13">
        <f t="shared" si="45"/>
        <v>0</v>
      </c>
      <c r="AA76" s="13">
        <f t="shared" si="46"/>
        <v>0</v>
      </c>
      <c r="AB76" s="13">
        <f t="shared" si="47"/>
        <v>0</v>
      </c>
      <c r="AD76" s="13">
        <v>21</v>
      </c>
      <c r="AE76" s="13">
        <f>G76*1</f>
        <v>0</v>
      </c>
      <c r="AF76" s="13">
        <f>G76*(1-1)</f>
        <v>0</v>
      </c>
    </row>
    <row r="77" spans="1:32" ht="25.5">
      <c r="A77" s="109" t="s">
        <v>64</v>
      </c>
      <c r="B77" s="109"/>
      <c r="C77" s="109" t="s">
        <v>372</v>
      </c>
      <c r="D77" s="110" t="s">
        <v>383</v>
      </c>
      <c r="E77" s="110" t="s">
        <v>241</v>
      </c>
      <c r="F77" s="111">
        <v>135.01</v>
      </c>
      <c r="G77" s="111"/>
      <c r="H77" s="112">
        <f t="shared" si="40"/>
        <v>0</v>
      </c>
      <c r="I77" s="112">
        <f t="shared" si="41"/>
        <v>0</v>
      </c>
      <c r="J77" s="112">
        <f t="shared" si="42"/>
        <v>0</v>
      </c>
      <c r="K77" s="112">
        <v>0.08267</v>
      </c>
      <c r="L77" s="112">
        <f t="shared" si="43"/>
        <v>11.161276699999998</v>
      </c>
      <c r="N77" s="24" t="s">
        <v>7</v>
      </c>
      <c r="O77" s="13">
        <f t="shared" si="44"/>
        <v>0</v>
      </c>
      <c r="Z77" s="13">
        <f t="shared" si="45"/>
        <v>0</v>
      </c>
      <c r="AA77" s="13">
        <f t="shared" si="46"/>
        <v>0</v>
      </c>
      <c r="AB77" s="13">
        <f t="shared" si="47"/>
        <v>0</v>
      </c>
      <c r="AD77" s="13">
        <v>21</v>
      </c>
      <c r="AE77" s="13">
        <f>G77*0.74808828755314</f>
        <v>0</v>
      </c>
      <c r="AF77" s="13">
        <f>G77*(1-0.74808828755314)</f>
        <v>0</v>
      </c>
    </row>
    <row r="78" spans="1:32" ht="12.75">
      <c r="A78" s="4" t="s">
        <v>65</v>
      </c>
      <c r="B78" s="4"/>
      <c r="C78" s="4" t="s">
        <v>144</v>
      </c>
      <c r="D78" s="51" t="s">
        <v>373</v>
      </c>
      <c r="E78" s="51" t="s">
        <v>241</v>
      </c>
      <c r="F78" s="52">
        <v>135.01</v>
      </c>
      <c r="G78" s="52"/>
      <c r="H78" s="13">
        <f t="shared" si="40"/>
        <v>0</v>
      </c>
      <c r="I78" s="13">
        <f t="shared" si="41"/>
        <v>0</v>
      </c>
      <c r="J78" s="13">
        <f t="shared" si="42"/>
        <v>0</v>
      </c>
      <c r="K78" s="13">
        <v>4E-05</v>
      </c>
      <c r="L78" s="13">
        <f t="shared" si="43"/>
        <v>0.0054004</v>
      </c>
      <c r="N78" s="24" t="s">
        <v>7</v>
      </c>
      <c r="O78" s="13">
        <f t="shared" si="44"/>
        <v>0</v>
      </c>
      <c r="Z78" s="13">
        <f t="shared" si="45"/>
        <v>0</v>
      </c>
      <c r="AA78" s="13">
        <f t="shared" si="46"/>
        <v>0</v>
      </c>
      <c r="AB78" s="13">
        <f t="shared" si="47"/>
        <v>0</v>
      </c>
      <c r="AD78" s="13">
        <v>21</v>
      </c>
      <c r="AE78" s="13">
        <f>G78*0.0904550499445061</f>
        <v>0</v>
      </c>
      <c r="AF78" s="13">
        <f>G78*(1-0.0904550499445061)</f>
        <v>0</v>
      </c>
    </row>
    <row r="79" spans="1:32" ht="12.75">
      <c r="A79" s="109" t="s">
        <v>66</v>
      </c>
      <c r="B79" s="109"/>
      <c r="C79" s="109" t="s">
        <v>374</v>
      </c>
      <c r="D79" s="110" t="s">
        <v>375</v>
      </c>
      <c r="E79" s="110" t="s">
        <v>245</v>
      </c>
      <c r="F79" s="111">
        <v>8.67</v>
      </c>
      <c r="G79" s="111"/>
      <c r="H79" s="112">
        <f t="shared" si="40"/>
        <v>0</v>
      </c>
      <c r="I79" s="112">
        <f t="shared" si="41"/>
        <v>0</v>
      </c>
      <c r="J79" s="112">
        <f t="shared" si="42"/>
        <v>0</v>
      </c>
      <c r="K79" s="112">
        <v>0.01912</v>
      </c>
      <c r="L79" s="112">
        <f t="shared" si="43"/>
        <v>0.1657704</v>
      </c>
      <c r="N79" s="24" t="s">
        <v>7</v>
      </c>
      <c r="O79" s="13">
        <f t="shared" si="44"/>
        <v>0</v>
      </c>
      <c r="Z79" s="13">
        <f t="shared" si="45"/>
        <v>0</v>
      </c>
      <c r="AA79" s="13">
        <f t="shared" si="46"/>
        <v>0</v>
      </c>
      <c r="AB79" s="13">
        <f t="shared" si="47"/>
        <v>0</v>
      </c>
      <c r="AD79" s="13">
        <v>21</v>
      </c>
      <c r="AE79" s="13">
        <f>G79*0.535334121821407</f>
        <v>0</v>
      </c>
      <c r="AF79" s="13">
        <f>G79*(1-0.535334121821407)</f>
        <v>0</v>
      </c>
    </row>
    <row r="80" spans="1:32" ht="12.75">
      <c r="A80" s="109" t="s">
        <v>67</v>
      </c>
      <c r="B80" s="109"/>
      <c r="C80" s="109" t="s">
        <v>376</v>
      </c>
      <c r="D80" s="110" t="s">
        <v>377</v>
      </c>
      <c r="E80" s="110" t="s">
        <v>245</v>
      </c>
      <c r="F80" s="111">
        <v>22.28</v>
      </c>
      <c r="G80" s="111"/>
      <c r="H80" s="112">
        <f t="shared" si="40"/>
        <v>0</v>
      </c>
      <c r="I80" s="112">
        <f t="shared" si="41"/>
        <v>0</v>
      </c>
      <c r="J80" s="112">
        <f t="shared" si="42"/>
        <v>0</v>
      </c>
      <c r="K80" s="112">
        <v>0.01912</v>
      </c>
      <c r="L80" s="112">
        <f t="shared" si="43"/>
        <v>0.4259936000000001</v>
      </c>
      <c r="N80" s="24" t="s">
        <v>7</v>
      </c>
      <c r="O80" s="13">
        <f t="shared" si="44"/>
        <v>0</v>
      </c>
      <c r="Z80" s="13">
        <f t="shared" si="45"/>
        <v>0</v>
      </c>
      <c r="AA80" s="13">
        <f t="shared" si="46"/>
        <v>0</v>
      </c>
      <c r="AB80" s="13">
        <f t="shared" si="47"/>
        <v>0</v>
      </c>
      <c r="AD80" s="13">
        <v>21</v>
      </c>
      <c r="AE80" s="13">
        <f>G80*0.502595563945257</f>
        <v>0</v>
      </c>
      <c r="AF80" s="13">
        <f>G80*(1-0.502595563945257)</f>
        <v>0</v>
      </c>
    </row>
    <row r="81" spans="1:32" ht="12.75">
      <c r="A81" s="4" t="s">
        <v>68</v>
      </c>
      <c r="B81" s="4"/>
      <c r="C81" s="4" t="s">
        <v>378</v>
      </c>
      <c r="D81" s="51" t="s">
        <v>379</v>
      </c>
      <c r="E81" s="51" t="s">
        <v>245</v>
      </c>
      <c r="F81" s="52">
        <v>55.39</v>
      </c>
      <c r="G81" s="52"/>
      <c r="H81" s="13">
        <f t="shared" si="40"/>
        <v>0</v>
      </c>
      <c r="I81" s="13">
        <f t="shared" si="41"/>
        <v>0</v>
      </c>
      <c r="J81" s="13">
        <f t="shared" si="42"/>
        <v>0</v>
      </c>
      <c r="K81" s="13">
        <v>3E-05</v>
      </c>
      <c r="L81" s="13">
        <f t="shared" si="43"/>
        <v>0.0016617000000000001</v>
      </c>
      <c r="N81" s="24" t="s">
        <v>7</v>
      </c>
      <c r="O81" s="13">
        <f t="shared" si="44"/>
        <v>0</v>
      </c>
      <c r="Z81" s="13">
        <f t="shared" si="45"/>
        <v>0</v>
      </c>
      <c r="AA81" s="13">
        <f t="shared" si="46"/>
        <v>0</v>
      </c>
      <c r="AB81" s="13">
        <f t="shared" si="47"/>
        <v>0</v>
      </c>
      <c r="AD81" s="13">
        <v>21</v>
      </c>
      <c r="AE81" s="13">
        <f>G81*0.176912568306011</f>
        <v>0</v>
      </c>
      <c r="AF81" s="13">
        <f>G81*(1-0.176912568306011)</f>
        <v>0</v>
      </c>
    </row>
    <row r="82" spans="1:32" ht="12.75">
      <c r="A82" s="4" t="s">
        <v>69</v>
      </c>
      <c r="B82" s="4"/>
      <c r="C82" s="4" t="s">
        <v>145</v>
      </c>
      <c r="D82" s="51" t="s">
        <v>220</v>
      </c>
      <c r="E82" s="51" t="s">
        <v>244</v>
      </c>
      <c r="F82" s="52">
        <v>11.79</v>
      </c>
      <c r="G82" s="52"/>
      <c r="H82" s="13">
        <f t="shared" si="40"/>
        <v>0</v>
      </c>
      <c r="I82" s="13">
        <f t="shared" si="41"/>
        <v>0</v>
      </c>
      <c r="J82" s="13">
        <f t="shared" si="42"/>
        <v>0</v>
      </c>
      <c r="K82" s="13">
        <v>0</v>
      </c>
      <c r="L82" s="13">
        <f t="shared" si="43"/>
        <v>0</v>
      </c>
      <c r="N82" s="24" t="s">
        <v>11</v>
      </c>
      <c r="O82" s="13">
        <f t="shared" si="44"/>
        <v>0</v>
      </c>
      <c r="Z82" s="13">
        <f t="shared" si="45"/>
        <v>0</v>
      </c>
      <c r="AA82" s="13">
        <f t="shared" si="46"/>
        <v>0</v>
      </c>
      <c r="AB82" s="13">
        <f t="shared" si="47"/>
        <v>0</v>
      </c>
      <c r="AD82" s="13">
        <v>21</v>
      </c>
      <c r="AE82" s="13">
        <f aca="true" t="shared" si="48" ref="AE82:AE88">G82*0</f>
        <v>0</v>
      </c>
      <c r="AF82" s="13">
        <f aca="true" t="shared" si="49" ref="AF82:AF88">G82*(1-0)</f>
        <v>0</v>
      </c>
    </row>
    <row r="83" spans="1:32" ht="12.75">
      <c r="A83" s="4" t="s">
        <v>70</v>
      </c>
      <c r="B83" s="4"/>
      <c r="C83" s="4" t="s">
        <v>121</v>
      </c>
      <c r="D83" s="51" t="s">
        <v>197</v>
      </c>
      <c r="E83" s="51" t="s">
        <v>244</v>
      </c>
      <c r="F83" s="52">
        <v>10.28</v>
      </c>
      <c r="G83" s="52"/>
      <c r="H83" s="13">
        <f t="shared" si="40"/>
        <v>0</v>
      </c>
      <c r="I83" s="13">
        <f t="shared" si="41"/>
        <v>0</v>
      </c>
      <c r="J83" s="13">
        <f t="shared" si="42"/>
        <v>0</v>
      </c>
      <c r="K83" s="13">
        <v>0</v>
      </c>
      <c r="L83" s="13">
        <f t="shared" si="43"/>
        <v>0</v>
      </c>
      <c r="N83" s="24" t="s">
        <v>11</v>
      </c>
      <c r="O83" s="13">
        <f t="shared" si="44"/>
        <v>0</v>
      </c>
      <c r="Z83" s="13">
        <f t="shared" si="45"/>
        <v>0</v>
      </c>
      <c r="AA83" s="13">
        <f t="shared" si="46"/>
        <v>0</v>
      </c>
      <c r="AB83" s="13">
        <f t="shared" si="47"/>
        <v>0</v>
      </c>
      <c r="AD83" s="13">
        <v>21</v>
      </c>
      <c r="AE83" s="13">
        <f t="shared" si="48"/>
        <v>0</v>
      </c>
      <c r="AF83" s="13">
        <f t="shared" si="49"/>
        <v>0</v>
      </c>
    </row>
    <row r="84" spans="1:32" ht="12.75">
      <c r="A84" s="4" t="s">
        <v>71</v>
      </c>
      <c r="B84" s="4"/>
      <c r="C84" s="4" t="s">
        <v>122</v>
      </c>
      <c r="D84" s="51" t="s">
        <v>198</v>
      </c>
      <c r="E84" s="51" t="s">
        <v>244</v>
      </c>
      <c r="F84" s="52">
        <v>20.57</v>
      </c>
      <c r="G84" s="52"/>
      <c r="H84" s="13">
        <f t="shared" si="40"/>
        <v>0</v>
      </c>
      <c r="I84" s="13">
        <f t="shared" si="41"/>
        <v>0</v>
      </c>
      <c r="J84" s="13">
        <f t="shared" si="42"/>
        <v>0</v>
      </c>
      <c r="K84" s="13">
        <v>0</v>
      </c>
      <c r="L84" s="13">
        <f t="shared" si="43"/>
        <v>0</v>
      </c>
      <c r="N84" s="24" t="s">
        <v>11</v>
      </c>
      <c r="O84" s="13">
        <f t="shared" si="44"/>
        <v>0</v>
      </c>
      <c r="Z84" s="13">
        <f t="shared" si="45"/>
        <v>0</v>
      </c>
      <c r="AA84" s="13">
        <f t="shared" si="46"/>
        <v>0</v>
      </c>
      <c r="AB84" s="13">
        <f t="shared" si="47"/>
        <v>0</v>
      </c>
      <c r="AD84" s="13">
        <v>21</v>
      </c>
      <c r="AE84" s="13">
        <f t="shared" si="48"/>
        <v>0</v>
      </c>
      <c r="AF84" s="13">
        <f t="shared" si="49"/>
        <v>0</v>
      </c>
    </row>
    <row r="85" spans="1:32" ht="12.75">
      <c r="A85" s="4" t="s">
        <v>72</v>
      </c>
      <c r="B85" s="4"/>
      <c r="C85" s="4" t="s">
        <v>107</v>
      </c>
      <c r="D85" s="51" t="s">
        <v>183</v>
      </c>
      <c r="E85" s="51" t="s">
        <v>244</v>
      </c>
      <c r="F85" s="52">
        <v>10.28</v>
      </c>
      <c r="G85" s="52"/>
      <c r="H85" s="13">
        <f t="shared" si="40"/>
        <v>0</v>
      </c>
      <c r="I85" s="13">
        <f t="shared" si="41"/>
        <v>0</v>
      </c>
      <c r="J85" s="13">
        <f t="shared" si="42"/>
        <v>0</v>
      </c>
      <c r="K85" s="13">
        <v>0</v>
      </c>
      <c r="L85" s="13">
        <f t="shared" si="43"/>
        <v>0</v>
      </c>
      <c r="N85" s="24" t="s">
        <v>11</v>
      </c>
      <c r="O85" s="13">
        <f t="shared" si="44"/>
        <v>0</v>
      </c>
      <c r="Z85" s="13">
        <f t="shared" si="45"/>
        <v>0</v>
      </c>
      <c r="AA85" s="13">
        <f t="shared" si="46"/>
        <v>0</v>
      </c>
      <c r="AB85" s="13">
        <f t="shared" si="47"/>
        <v>0</v>
      </c>
      <c r="AD85" s="13">
        <v>21</v>
      </c>
      <c r="AE85" s="13">
        <f t="shared" si="48"/>
        <v>0</v>
      </c>
      <c r="AF85" s="13">
        <f t="shared" si="49"/>
        <v>0</v>
      </c>
    </row>
    <row r="86" spans="1:32" ht="12.75">
      <c r="A86" s="4" t="s">
        <v>73</v>
      </c>
      <c r="B86" s="4"/>
      <c r="C86" s="4" t="s">
        <v>108</v>
      </c>
      <c r="D86" s="51" t="s">
        <v>184</v>
      </c>
      <c r="E86" s="51" t="s">
        <v>244</v>
      </c>
      <c r="F86" s="52">
        <v>102.83</v>
      </c>
      <c r="G86" s="52"/>
      <c r="H86" s="13">
        <f t="shared" si="40"/>
        <v>0</v>
      </c>
      <c r="I86" s="13">
        <f t="shared" si="41"/>
        <v>0</v>
      </c>
      <c r="J86" s="13">
        <f t="shared" si="42"/>
        <v>0</v>
      </c>
      <c r="K86" s="13">
        <v>0</v>
      </c>
      <c r="L86" s="13">
        <f t="shared" si="43"/>
        <v>0</v>
      </c>
      <c r="N86" s="24" t="s">
        <v>11</v>
      </c>
      <c r="O86" s="13">
        <f t="shared" si="44"/>
        <v>0</v>
      </c>
      <c r="Z86" s="13">
        <f t="shared" si="45"/>
        <v>0</v>
      </c>
      <c r="AA86" s="13">
        <f t="shared" si="46"/>
        <v>0</v>
      </c>
      <c r="AB86" s="13">
        <f t="shared" si="47"/>
        <v>0</v>
      </c>
      <c r="AD86" s="13">
        <v>21</v>
      </c>
      <c r="AE86" s="13">
        <f t="shared" si="48"/>
        <v>0</v>
      </c>
      <c r="AF86" s="13">
        <f t="shared" si="49"/>
        <v>0</v>
      </c>
    </row>
    <row r="87" spans="1:32" ht="12.75">
      <c r="A87" s="4" t="s">
        <v>74</v>
      </c>
      <c r="B87" s="4"/>
      <c r="C87" s="4" t="s">
        <v>109</v>
      </c>
      <c r="D87" s="51" t="s">
        <v>185</v>
      </c>
      <c r="E87" s="51" t="s">
        <v>244</v>
      </c>
      <c r="F87" s="52">
        <v>10.28</v>
      </c>
      <c r="G87" s="52"/>
      <c r="H87" s="13">
        <f t="shared" si="40"/>
        <v>0</v>
      </c>
      <c r="I87" s="13">
        <f t="shared" si="41"/>
        <v>0</v>
      </c>
      <c r="J87" s="13">
        <f t="shared" si="42"/>
        <v>0</v>
      </c>
      <c r="K87" s="13">
        <v>0</v>
      </c>
      <c r="L87" s="13">
        <f t="shared" si="43"/>
        <v>0</v>
      </c>
      <c r="N87" s="24" t="s">
        <v>11</v>
      </c>
      <c r="O87" s="13">
        <f t="shared" si="44"/>
        <v>0</v>
      </c>
      <c r="Z87" s="13">
        <f t="shared" si="45"/>
        <v>0</v>
      </c>
      <c r="AA87" s="13">
        <f t="shared" si="46"/>
        <v>0</v>
      </c>
      <c r="AB87" s="13">
        <f t="shared" si="47"/>
        <v>0</v>
      </c>
      <c r="AD87" s="13">
        <v>21</v>
      </c>
      <c r="AE87" s="13">
        <f t="shared" si="48"/>
        <v>0</v>
      </c>
      <c r="AF87" s="13">
        <f t="shared" si="49"/>
        <v>0</v>
      </c>
    </row>
    <row r="88" spans="1:32" ht="12.75">
      <c r="A88" s="4" t="s">
        <v>75</v>
      </c>
      <c r="B88" s="4"/>
      <c r="C88" s="4" t="s">
        <v>110</v>
      </c>
      <c r="D88" s="51" t="s">
        <v>186</v>
      </c>
      <c r="E88" s="51" t="s">
        <v>244</v>
      </c>
      <c r="F88" s="52">
        <v>10.28</v>
      </c>
      <c r="G88" s="52"/>
      <c r="H88" s="13">
        <f t="shared" si="40"/>
        <v>0</v>
      </c>
      <c r="I88" s="13">
        <f t="shared" si="41"/>
        <v>0</v>
      </c>
      <c r="J88" s="13">
        <f t="shared" si="42"/>
        <v>0</v>
      </c>
      <c r="K88" s="13">
        <v>0</v>
      </c>
      <c r="L88" s="13">
        <f t="shared" si="43"/>
        <v>0</v>
      </c>
      <c r="N88" s="24" t="s">
        <v>11</v>
      </c>
      <c r="O88" s="13">
        <f t="shared" si="44"/>
        <v>0</v>
      </c>
      <c r="Z88" s="13">
        <f t="shared" si="45"/>
        <v>0</v>
      </c>
      <c r="AA88" s="13">
        <f t="shared" si="46"/>
        <v>0</v>
      </c>
      <c r="AB88" s="13">
        <f t="shared" si="47"/>
        <v>0</v>
      </c>
      <c r="AD88" s="13">
        <v>21</v>
      </c>
      <c r="AE88" s="13">
        <f t="shared" si="48"/>
        <v>0</v>
      </c>
      <c r="AF88" s="13">
        <f t="shared" si="49"/>
        <v>0</v>
      </c>
    </row>
    <row r="89" spans="1:37" ht="12.75">
      <c r="A89" s="5"/>
      <c r="B89" s="5"/>
      <c r="C89" s="11" t="s">
        <v>146</v>
      </c>
      <c r="D89" s="55" t="s">
        <v>221</v>
      </c>
      <c r="E89" s="56"/>
      <c r="F89" s="56"/>
      <c r="G89" s="56"/>
      <c r="H89" s="26">
        <f>SUM(H90:H92)</f>
        <v>0</v>
      </c>
      <c r="I89" s="26">
        <f>SUM(I90:I92)</f>
        <v>0</v>
      </c>
      <c r="J89" s="26">
        <f>H89+I89</f>
        <v>0</v>
      </c>
      <c r="K89" s="21"/>
      <c r="L89" s="26">
        <f>SUM(L90:L92)</f>
        <v>0</v>
      </c>
      <c r="P89" s="26">
        <f>IF(Q89="PR",J89,SUM(O90:O92))</f>
        <v>0</v>
      </c>
      <c r="Q89" s="21" t="s">
        <v>270</v>
      </c>
      <c r="R89" s="26">
        <f>IF(Q89="HS",H89,0)</f>
        <v>0</v>
      </c>
      <c r="S89" s="26">
        <f>IF(Q89="HS",I89-P89,0)</f>
        <v>0</v>
      </c>
      <c r="T89" s="26">
        <f>IF(Q89="PS",H89,0)</f>
        <v>0</v>
      </c>
      <c r="U89" s="26">
        <f>IF(Q89="PS",I89-P89,0)</f>
        <v>0</v>
      </c>
      <c r="V89" s="26">
        <f>IF(Q89="MP",H89,0)</f>
        <v>0</v>
      </c>
      <c r="W89" s="26">
        <f>IF(Q89="MP",I89-P89,0)</f>
        <v>0</v>
      </c>
      <c r="X89" s="26">
        <f>IF(Q89="OM",H89,0)</f>
        <v>0</v>
      </c>
      <c r="Y89" s="21"/>
      <c r="AI89" s="26">
        <f>SUM(Z90:Z92)</f>
        <v>0</v>
      </c>
      <c r="AJ89" s="26">
        <f>SUM(AA90:AA92)</f>
        <v>0</v>
      </c>
      <c r="AK89" s="26">
        <f>SUM(AB90:AB92)</f>
        <v>0</v>
      </c>
    </row>
    <row r="90" spans="1:32" ht="12.75">
      <c r="A90" s="4" t="s">
        <v>76</v>
      </c>
      <c r="B90" s="4"/>
      <c r="C90" s="4" t="s">
        <v>147</v>
      </c>
      <c r="D90" s="51" t="s">
        <v>222</v>
      </c>
      <c r="E90" s="51" t="s">
        <v>247</v>
      </c>
      <c r="F90" s="52">
        <v>1</v>
      </c>
      <c r="G90" s="52"/>
      <c r="H90" s="13">
        <f>ROUND(F90*AE90,2)</f>
        <v>0</v>
      </c>
      <c r="I90" s="13">
        <f>J90-H90</f>
        <v>0</v>
      </c>
      <c r="J90" s="13">
        <f>ROUND(F90*G90,2)</f>
        <v>0</v>
      </c>
      <c r="K90" s="13">
        <v>0</v>
      </c>
      <c r="L90" s="13">
        <f>F90*K90</f>
        <v>0</v>
      </c>
      <c r="N90" s="24" t="s">
        <v>7</v>
      </c>
      <c r="O90" s="13">
        <f>IF(N90="5",I90,0)</f>
        <v>0</v>
      </c>
      <c r="Z90" s="13">
        <f>IF(AD90=0,J90,0)</f>
        <v>0</v>
      </c>
      <c r="AA90" s="13">
        <f>IF(AD90=15,J90,0)</f>
        <v>0</v>
      </c>
      <c r="AB90" s="13">
        <f>IF(AD90=21,J90,0)</f>
        <v>0</v>
      </c>
      <c r="AD90" s="13">
        <v>21</v>
      </c>
      <c r="AE90" s="13">
        <f>G90*0.625</f>
        <v>0</v>
      </c>
      <c r="AF90" s="13">
        <f>G90*(1-0.625)</f>
        <v>0</v>
      </c>
    </row>
    <row r="91" spans="1:32" ht="25.5">
      <c r="A91" s="4" t="s">
        <v>77</v>
      </c>
      <c r="B91" s="4"/>
      <c r="C91" s="4" t="s">
        <v>148</v>
      </c>
      <c r="D91" s="51" t="s">
        <v>223</v>
      </c>
      <c r="E91" s="51" t="s">
        <v>248</v>
      </c>
      <c r="F91" s="52">
        <v>4</v>
      </c>
      <c r="G91" s="52"/>
      <c r="H91" s="13">
        <f>ROUND(F91*AE91,2)</f>
        <v>0</v>
      </c>
      <c r="I91" s="13">
        <f>J91-H91</f>
        <v>0</v>
      </c>
      <c r="J91" s="13">
        <f>ROUND(F91*G91,2)</f>
        <v>0</v>
      </c>
      <c r="K91" s="13">
        <v>0</v>
      </c>
      <c r="L91" s="13">
        <f>F91*K91</f>
        <v>0</v>
      </c>
      <c r="N91" s="24" t="s">
        <v>7</v>
      </c>
      <c r="O91" s="13">
        <f>IF(N91="5",I91,0)</f>
        <v>0</v>
      </c>
      <c r="Z91" s="13">
        <f>IF(AD91=0,J91,0)</f>
        <v>0</v>
      </c>
      <c r="AA91" s="13">
        <f>IF(AD91=15,J91,0)</f>
        <v>0</v>
      </c>
      <c r="AB91" s="13">
        <f>IF(AD91=21,J91,0)</f>
        <v>0</v>
      </c>
      <c r="AD91" s="13">
        <v>21</v>
      </c>
      <c r="AE91" s="13">
        <f>G91*0.8</f>
        <v>0</v>
      </c>
      <c r="AF91" s="13">
        <f>G91*(1-0.8)</f>
        <v>0</v>
      </c>
    </row>
    <row r="92" spans="1:32" ht="25.5">
      <c r="A92" s="4" t="s">
        <v>78</v>
      </c>
      <c r="B92" s="4"/>
      <c r="C92" s="4" t="s">
        <v>149</v>
      </c>
      <c r="D92" s="51" t="s">
        <v>224</v>
      </c>
      <c r="E92" s="51" t="s">
        <v>247</v>
      </c>
      <c r="F92" s="52">
        <v>1</v>
      </c>
      <c r="G92" s="52"/>
      <c r="H92" s="13">
        <f>ROUND(F92*AE92,2)</f>
        <v>0</v>
      </c>
      <c r="I92" s="13">
        <f>J92-H92</f>
        <v>0</v>
      </c>
      <c r="J92" s="13">
        <f>ROUND(F92*G92,2)</f>
        <v>0</v>
      </c>
      <c r="K92" s="13">
        <v>0</v>
      </c>
      <c r="L92" s="13">
        <f>F92*K92</f>
        <v>0</v>
      </c>
      <c r="N92" s="24" t="s">
        <v>7</v>
      </c>
      <c r="O92" s="13">
        <f>IF(N92="5",I92,0)</f>
        <v>0</v>
      </c>
      <c r="Z92" s="13">
        <f>IF(AD92=0,J92,0)</f>
        <v>0</v>
      </c>
      <c r="AA92" s="13">
        <f>IF(AD92=15,J92,0)</f>
        <v>0</v>
      </c>
      <c r="AB92" s="13">
        <f>IF(AD92=21,J92,0)</f>
        <v>0</v>
      </c>
      <c r="AD92" s="13">
        <v>21</v>
      </c>
      <c r="AE92" s="13">
        <f>G92*0</f>
        <v>0</v>
      </c>
      <c r="AF92" s="13">
        <f>G92*(1-0)</f>
        <v>0</v>
      </c>
    </row>
    <row r="93" spans="1:37" ht="12.75">
      <c r="A93" s="5"/>
      <c r="B93" s="5"/>
      <c r="C93" s="11" t="s">
        <v>150</v>
      </c>
      <c r="D93" s="55" t="s">
        <v>225</v>
      </c>
      <c r="E93" s="56"/>
      <c r="F93" s="56"/>
      <c r="G93" s="56"/>
      <c r="H93" s="26">
        <f>SUM(H94:H101)</f>
        <v>0</v>
      </c>
      <c r="I93" s="26">
        <f>SUM(I94:I101)</f>
        <v>0</v>
      </c>
      <c r="J93" s="26">
        <f>H93+I93</f>
        <v>0</v>
      </c>
      <c r="K93" s="21"/>
      <c r="L93" s="26">
        <f>SUM(L94:L100)</f>
        <v>0.018427</v>
      </c>
      <c r="P93" s="26">
        <f>IF(Q93="PR",J93,SUM(O94:O100))</f>
        <v>0</v>
      </c>
      <c r="Q93" s="21" t="s">
        <v>270</v>
      </c>
      <c r="R93" s="26">
        <f>IF(Q93="HS",H93,0)</f>
        <v>0</v>
      </c>
      <c r="S93" s="26">
        <f>IF(Q93="HS",I93-P93,0)</f>
        <v>0</v>
      </c>
      <c r="T93" s="26">
        <f>IF(Q93="PS",H93,0)</f>
        <v>0</v>
      </c>
      <c r="U93" s="26">
        <f>IF(Q93="PS",I93-P93,0)</f>
        <v>0</v>
      </c>
      <c r="V93" s="26">
        <f>IF(Q93="MP",H93,0)</f>
        <v>0</v>
      </c>
      <c r="W93" s="26">
        <f>IF(Q93="MP",I93-P93,0)</f>
        <v>0</v>
      </c>
      <c r="X93" s="26">
        <f>IF(Q93="OM",H93,0)</f>
        <v>0</v>
      </c>
      <c r="Y93" s="21"/>
      <c r="AI93" s="26">
        <f>SUM(Z94:Z100)</f>
        <v>0</v>
      </c>
      <c r="AJ93" s="26">
        <f>SUM(AA94:AA100)</f>
        <v>0</v>
      </c>
      <c r="AK93" s="26">
        <f>SUM(AB94:AB100)</f>
        <v>0</v>
      </c>
    </row>
    <row r="94" spans="1:32" ht="12.75">
      <c r="A94" s="4" t="s">
        <v>79</v>
      </c>
      <c r="B94" s="4"/>
      <c r="C94" s="4" t="s">
        <v>151</v>
      </c>
      <c r="D94" s="51" t="s">
        <v>226</v>
      </c>
      <c r="E94" s="51" t="s">
        <v>241</v>
      </c>
      <c r="F94" s="52">
        <v>15.19</v>
      </c>
      <c r="G94" s="52"/>
      <c r="H94" s="13">
        <f aca="true" t="shared" si="50" ref="H94:H101">ROUND(F94*AE94,2)</f>
        <v>0</v>
      </c>
      <c r="I94" s="13">
        <f aca="true" t="shared" si="51" ref="I94:I101">J94-H94</f>
        <v>0</v>
      </c>
      <c r="J94" s="13">
        <f aca="true" t="shared" si="52" ref="J94:J101">ROUND(F94*G94,2)</f>
        <v>0</v>
      </c>
      <c r="K94" s="13">
        <v>1E-05</v>
      </c>
      <c r="L94" s="13">
        <f aca="true" t="shared" si="53" ref="L94:L101">F94*K94</f>
        <v>0.0001519</v>
      </c>
      <c r="N94" s="24" t="s">
        <v>7</v>
      </c>
      <c r="O94" s="13">
        <f aca="true" t="shared" si="54" ref="O94:O100">IF(N94="5",I94,0)</f>
        <v>0</v>
      </c>
      <c r="Z94" s="13">
        <f aca="true" t="shared" si="55" ref="Z94:Z100">IF(AD94=0,J94,0)</f>
        <v>0</v>
      </c>
      <c r="AA94" s="13">
        <f aca="true" t="shared" si="56" ref="AA94:AA100">IF(AD94=15,J94,0)</f>
        <v>0</v>
      </c>
      <c r="AB94" s="13">
        <f aca="true" t="shared" si="57" ref="AB94:AB100">IF(AD94=21,J94,0)</f>
        <v>0</v>
      </c>
      <c r="AD94" s="13">
        <v>21</v>
      </c>
      <c r="AE94" s="13">
        <f>G94*0.0854214123006834</f>
        <v>0</v>
      </c>
      <c r="AF94" s="13">
        <f>G94*(1-0.0854214123006834)</f>
        <v>0</v>
      </c>
    </row>
    <row r="95" spans="1:32" ht="12.75">
      <c r="A95" s="4" t="s">
        <v>80</v>
      </c>
      <c r="B95" s="4"/>
      <c r="C95" s="4" t="s">
        <v>152</v>
      </c>
      <c r="D95" s="51" t="s">
        <v>227</v>
      </c>
      <c r="E95" s="51" t="s">
        <v>241</v>
      </c>
      <c r="F95" s="52">
        <v>5.56</v>
      </c>
      <c r="G95" s="52"/>
      <c r="H95" s="13">
        <f t="shared" si="50"/>
        <v>0</v>
      </c>
      <c r="I95" s="13">
        <f t="shared" si="51"/>
        <v>0</v>
      </c>
      <c r="J95" s="13">
        <f t="shared" si="52"/>
        <v>0</v>
      </c>
      <c r="K95" s="13">
        <v>1E-05</v>
      </c>
      <c r="L95" s="13">
        <f t="shared" si="53"/>
        <v>5.56E-05</v>
      </c>
      <c r="N95" s="24" t="s">
        <v>7</v>
      </c>
      <c r="O95" s="13">
        <f t="shared" si="54"/>
        <v>0</v>
      </c>
      <c r="Z95" s="13">
        <f t="shared" si="55"/>
        <v>0</v>
      </c>
      <c r="AA95" s="13">
        <f t="shared" si="56"/>
        <v>0</v>
      </c>
      <c r="AB95" s="13">
        <f t="shared" si="57"/>
        <v>0</v>
      </c>
      <c r="AD95" s="13">
        <v>21</v>
      </c>
      <c r="AE95" s="13">
        <f>G95*0.0279642058165548</f>
        <v>0</v>
      </c>
      <c r="AF95" s="13">
        <f>G95*(1-0.0279642058165548)</f>
        <v>0</v>
      </c>
    </row>
    <row r="96" spans="1:32" ht="12.75">
      <c r="A96" s="4" t="s">
        <v>81</v>
      </c>
      <c r="B96" s="4"/>
      <c r="C96" s="4" t="s">
        <v>153</v>
      </c>
      <c r="D96" s="51" t="s">
        <v>228</v>
      </c>
      <c r="E96" s="51" t="s">
        <v>241</v>
      </c>
      <c r="F96" s="52">
        <v>15.19</v>
      </c>
      <c r="G96" s="52"/>
      <c r="H96" s="13">
        <f t="shared" si="50"/>
        <v>0</v>
      </c>
      <c r="I96" s="13">
        <f t="shared" si="51"/>
        <v>0</v>
      </c>
      <c r="J96" s="13">
        <f t="shared" si="52"/>
        <v>0</v>
      </c>
      <c r="K96" s="13">
        <v>0.00031</v>
      </c>
      <c r="L96" s="13">
        <f t="shared" si="53"/>
        <v>0.0047089</v>
      </c>
      <c r="N96" s="24" t="s">
        <v>7</v>
      </c>
      <c r="O96" s="13">
        <f t="shared" si="54"/>
        <v>0</v>
      </c>
      <c r="Z96" s="13">
        <f t="shared" si="55"/>
        <v>0</v>
      </c>
      <c r="AA96" s="13">
        <f t="shared" si="56"/>
        <v>0</v>
      </c>
      <c r="AB96" s="13">
        <f t="shared" si="57"/>
        <v>0</v>
      </c>
      <c r="AD96" s="13">
        <v>21</v>
      </c>
      <c r="AE96" s="13">
        <f>G96*0.183409356104805</f>
        <v>0</v>
      </c>
      <c r="AF96" s="13">
        <f>G96*(1-0.183409356104805)</f>
        <v>0</v>
      </c>
    </row>
    <row r="97" spans="1:32" ht="12.75">
      <c r="A97" s="4" t="s">
        <v>82</v>
      </c>
      <c r="B97" s="4"/>
      <c r="C97" s="4" t="s">
        <v>154</v>
      </c>
      <c r="D97" s="51" t="s">
        <v>229</v>
      </c>
      <c r="E97" s="51" t="s">
        <v>241</v>
      </c>
      <c r="F97" s="52">
        <v>5.56</v>
      </c>
      <c r="G97" s="52"/>
      <c r="H97" s="13">
        <f t="shared" si="50"/>
        <v>0</v>
      </c>
      <c r="I97" s="13">
        <f t="shared" si="51"/>
        <v>0</v>
      </c>
      <c r="J97" s="13">
        <f t="shared" si="52"/>
        <v>0</v>
      </c>
      <c r="K97" s="13">
        <v>0.00031</v>
      </c>
      <c r="L97" s="13">
        <f t="shared" si="53"/>
        <v>0.0017235999999999998</v>
      </c>
      <c r="N97" s="24" t="s">
        <v>7</v>
      </c>
      <c r="O97" s="13">
        <f t="shared" si="54"/>
        <v>0</v>
      </c>
      <c r="Z97" s="13">
        <f t="shared" si="55"/>
        <v>0</v>
      </c>
      <c r="AA97" s="13">
        <f t="shared" si="56"/>
        <v>0</v>
      </c>
      <c r="AB97" s="13">
        <f t="shared" si="57"/>
        <v>0</v>
      </c>
      <c r="AD97" s="13">
        <v>21</v>
      </c>
      <c r="AE97" s="13">
        <f>G97*0.148170365926815</f>
        <v>0</v>
      </c>
      <c r="AF97" s="13">
        <f>G97*(1-0.148170365926815)</f>
        <v>0</v>
      </c>
    </row>
    <row r="98" spans="1:32" ht="12.75">
      <c r="A98" s="4" t="s">
        <v>83</v>
      </c>
      <c r="B98" s="4"/>
      <c r="C98" s="4" t="s">
        <v>155</v>
      </c>
      <c r="D98" s="51" t="s">
        <v>230</v>
      </c>
      <c r="E98" s="51" t="s">
        <v>241</v>
      </c>
      <c r="F98" s="52">
        <v>20.75</v>
      </c>
      <c r="G98" s="52"/>
      <c r="H98" s="13">
        <f t="shared" si="50"/>
        <v>0</v>
      </c>
      <c r="I98" s="13">
        <f t="shared" si="51"/>
        <v>0</v>
      </c>
      <c r="J98" s="13">
        <f t="shared" si="52"/>
        <v>0</v>
      </c>
      <c r="K98" s="13">
        <v>0.00042</v>
      </c>
      <c r="L98" s="13">
        <f t="shared" si="53"/>
        <v>0.008715</v>
      </c>
      <c r="N98" s="24" t="s">
        <v>7</v>
      </c>
      <c r="O98" s="13">
        <f t="shared" si="54"/>
        <v>0</v>
      </c>
      <c r="Z98" s="13">
        <f t="shared" si="55"/>
        <v>0</v>
      </c>
      <c r="AA98" s="13">
        <f t="shared" si="56"/>
        <v>0</v>
      </c>
      <c r="AB98" s="13">
        <f t="shared" si="57"/>
        <v>0</v>
      </c>
      <c r="AD98" s="13">
        <v>21</v>
      </c>
      <c r="AE98" s="13">
        <f>G98*0.200292016478073</f>
        <v>0</v>
      </c>
      <c r="AF98" s="13">
        <f>G98*(1-0.200292016478073)</f>
        <v>0</v>
      </c>
    </row>
    <row r="99" spans="1:32" ht="25.5">
      <c r="A99" s="4" t="s">
        <v>84</v>
      </c>
      <c r="B99" s="4"/>
      <c r="C99" s="4" t="s">
        <v>156</v>
      </c>
      <c r="D99" s="51" t="s">
        <v>231</v>
      </c>
      <c r="E99" s="51" t="s">
        <v>241</v>
      </c>
      <c r="F99" s="52">
        <v>7.68</v>
      </c>
      <c r="G99" s="52"/>
      <c r="H99" s="13">
        <f t="shared" si="50"/>
        <v>0</v>
      </c>
      <c r="I99" s="13">
        <f t="shared" si="51"/>
        <v>0</v>
      </c>
      <c r="J99" s="13">
        <f t="shared" si="52"/>
        <v>0</v>
      </c>
      <c r="K99" s="13">
        <v>0.0002</v>
      </c>
      <c r="L99" s="13">
        <f t="shared" si="53"/>
        <v>0.001536</v>
      </c>
      <c r="N99" s="24" t="s">
        <v>7</v>
      </c>
      <c r="O99" s="13">
        <f t="shared" si="54"/>
        <v>0</v>
      </c>
      <c r="Z99" s="13">
        <f t="shared" si="55"/>
        <v>0</v>
      </c>
      <c r="AA99" s="13">
        <f t="shared" si="56"/>
        <v>0</v>
      </c>
      <c r="AB99" s="13">
        <f t="shared" si="57"/>
        <v>0</v>
      </c>
      <c r="AD99" s="13">
        <v>21</v>
      </c>
      <c r="AE99" s="13">
        <f>G99*0.173542129250906</f>
        <v>0</v>
      </c>
      <c r="AF99" s="13">
        <f>G99*(1-0.173542129250906)</f>
        <v>0</v>
      </c>
    </row>
    <row r="100" spans="1:32" ht="25.5">
      <c r="A100" s="4" t="s">
        <v>85</v>
      </c>
      <c r="B100" s="4"/>
      <c r="C100" s="4" t="s">
        <v>157</v>
      </c>
      <c r="D100" s="51" t="s">
        <v>232</v>
      </c>
      <c r="E100" s="51" t="s">
        <v>241</v>
      </c>
      <c r="F100" s="52">
        <v>7.68</v>
      </c>
      <c r="G100" s="52"/>
      <c r="H100" s="13">
        <f t="shared" si="50"/>
        <v>0</v>
      </c>
      <c r="I100" s="13">
        <f t="shared" si="51"/>
        <v>0</v>
      </c>
      <c r="J100" s="13">
        <f t="shared" si="52"/>
        <v>0</v>
      </c>
      <c r="K100" s="13">
        <v>0.0002</v>
      </c>
      <c r="L100" s="13">
        <f t="shared" si="53"/>
        <v>0.001536</v>
      </c>
      <c r="N100" s="24" t="s">
        <v>7</v>
      </c>
      <c r="O100" s="13">
        <f t="shared" si="54"/>
        <v>0</v>
      </c>
      <c r="Z100" s="13">
        <f t="shared" si="55"/>
        <v>0</v>
      </c>
      <c r="AA100" s="13">
        <f t="shared" si="56"/>
        <v>0</v>
      </c>
      <c r="AB100" s="13">
        <f t="shared" si="57"/>
        <v>0</v>
      </c>
      <c r="AD100" s="13">
        <v>21</v>
      </c>
      <c r="AE100" s="13">
        <f>G100*0.350010365558704</f>
        <v>0</v>
      </c>
      <c r="AF100" s="13">
        <f>G100*(1-0.350010365558704)</f>
        <v>0</v>
      </c>
    </row>
    <row r="101" spans="1:32" ht="25.5">
      <c r="A101" s="109" t="s">
        <v>86</v>
      </c>
      <c r="B101" s="109"/>
      <c r="C101" s="109" t="s">
        <v>380</v>
      </c>
      <c r="D101" s="110" t="s">
        <v>381</v>
      </c>
      <c r="E101" s="110" t="s">
        <v>246</v>
      </c>
      <c r="F101" s="111">
        <v>6</v>
      </c>
      <c r="G101" s="111"/>
      <c r="H101" s="112">
        <f t="shared" si="50"/>
        <v>0</v>
      </c>
      <c r="I101" s="112">
        <f t="shared" si="51"/>
        <v>0</v>
      </c>
      <c r="J101" s="112">
        <f t="shared" si="52"/>
        <v>0</v>
      </c>
      <c r="K101" s="112">
        <v>0</v>
      </c>
      <c r="L101" s="112">
        <f t="shared" si="53"/>
        <v>0</v>
      </c>
      <c r="N101" s="24"/>
      <c r="O101" s="13"/>
      <c r="Z101" s="13"/>
      <c r="AA101" s="13"/>
      <c r="AB101" s="13"/>
      <c r="AD101" s="13"/>
      <c r="AE101" s="13"/>
      <c r="AF101" s="13"/>
    </row>
    <row r="102" spans="1:37" ht="12.75">
      <c r="A102" s="5"/>
      <c r="B102" s="5"/>
      <c r="C102" s="11" t="s">
        <v>158</v>
      </c>
      <c r="D102" s="55" t="s">
        <v>233</v>
      </c>
      <c r="E102" s="56"/>
      <c r="F102" s="56"/>
      <c r="G102" s="56"/>
      <c r="H102" s="26">
        <f>SUM(H103:H104)</f>
        <v>0</v>
      </c>
      <c r="I102" s="26">
        <f>SUM(I103:I104)</f>
        <v>0</v>
      </c>
      <c r="J102" s="26">
        <f>H102+I102</f>
        <v>0</v>
      </c>
      <c r="K102" s="21"/>
      <c r="L102" s="26">
        <f>SUM(L103:L104)</f>
        <v>0.08416889999999999</v>
      </c>
      <c r="P102" s="26">
        <f>IF(Q102="PR",J102,SUM(O103:O104))</f>
        <v>0</v>
      </c>
      <c r="Q102" s="21" t="s">
        <v>270</v>
      </c>
      <c r="R102" s="26">
        <f>IF(Q102="HS",H102,0)</f>
        <v>0</v>
      </c>
      <c r="S102" s="26">
        <f>IF(Q102="HS",I102-P102,0)</f>
        <v>0</v>
      </c>
      <c r="T102" s="26">
        <f>IF(Q102="PS",H102,0)</f>
        <v>0</v>
      </c>
      <c r="U102" s="26">
        <f>IF(Q102="PS",I102-P102,0)</f>
        <v>0</v>
      </c>
      <c r="V102" s="26">
        <f>IF(Q102="MP",H102,0)</f>
        <v>0</v>
      </c>
      <c r="W102" s="26">
        <f>IF(Q102="MP",I102-P102,0)</f>
        <v>0</v>
      </c>
      <c r="X102" s="26">
        <f>IF(Q102="OM",H102,0)</f>
        <v>0</v>
      </c>
      <c r="Y102" s="21"/>
      <c r="AI102" s="26">
        <f>SUM(Z103:Z104)</f>
        <v>0</v>
      </c>
      <c r="AJ102" s="26">
        <f>SUM(AA103:AA104)</f>
        <v>0</v>
      </c>
      <c r="AK102" s="26">
        <f>SUM(AB103:AB104)</f>
        <v>0</v>
      </c>
    </row>
    <row r="103" spans="1:32" ht="12.75">
      <c r="A103" s="4" t="s">
        <v>87</v>
      </c>
      <c r="B103" s="4"/>
      <c r="C103" s="4" t="s">
        <v>159</v>
      </c>
      <c r="D103" s="51" t="s">
        <v>234</v>
      </c>
      <c r="E103" s="51" t="s">
        <v>241</v>
      </c>
      <c r="F103" s="52">
        <v>205.29</v>
      </c>
      <c r="G103" s="52"/>
      <c r="H103" s="13">
        <f>ROUND(F103*AE103,2)</f>
        <v>0</v>
      </c>
      <c r="I103" s="13">
        <f>J103-H103</f>
        <v>0</v>
      </c>
      <c r="J103" s="13">
        <f>ROUND(F103*G103,2)</f>
        <v>0</v>
      </c>
      <c r="K103" s="13">
        <v>0.00041</v>
      </c>
      <c r="L103" s="13">
        <f>F103*K103</f>
        <v>0.08416889999999999</v>
      </c>
      <c r="N103" s="24" t="s">
        <v>7</v>
      </c>
      <c r="O103" s="13">
        <f>IF(N103="5",I103,0)</f>
        <v>0</v>
      </c>
      <c r="Z103" s="13">
        <f>IF(AD103=0,J103,0)</f>
        <v>0</v>
      </c>
      <c r="AA103" s="13">
        <f>IF(AD103=15,J103,0)</f>
        <v>0</v>
      </c>
      <c r="AB103" s="13">
        <f>IF(AD103=21,J103,0)</f>
        <v>0</v>
      </c>
      <c r="AD103" s="13">
        <v>21</v>
      </c>
      <c r="AE103" s="13">
        <f>G103*0.0612970091797453</f>
        <v>0</v>
      </c>
      <c r="AF103" s="13">
        <f>G103*(1-0.0612970091797453)</f>
        <v>0</v>
      </c>
    </row>
    <row r="104" spans="1:32" ht="12.75">
      <c r="A104" s="6" t="s">
        <v>382</v>
      </c>
      <c r="B104" s="6"/>
      <c r="C104" s="6" t="s">
        <v>160</v>
      </c>
      <c r="D104" s="53" t="s">
        <v>235</v>
      </c>
      <c r="E104" s="53" t="s">
        <v>241</v>
      </c>
      <c r="F104" s="54">
        <v>133.07</v>
      </c>
      <c r="G104" s="54"/>
      <c r="H104" s="14">
        <f>ROUND(F104*AE104,2)</f>
        <v>0</v>
      </c>
      <c r="I104" s="14">
        <f>J104-H104</f>
        <v>0</v>
      </c>
      <c r="J104" s="14">
        <f>ROUND(F104*G104,2)</f>
        <v>0</v>
      </c>
      <c r="K104" s="14">
        <v>0</v>
      </c>
      <c r="L104" s="14">
        <f>F104*K104</f>
        <v>0</v>
      </c>
      <c r="N104" s="24" t="s">
        <v>7</v>
      </c>
      <c r="O104" s="13">
        <f>IF(N104="5",I104,0)</f>
        <v>0</v>
      </c>
      <c r="Z104" s="13">
        <f>IF(AD104=0,J104,0)</f>
        <v>0</v>
      </c>
      <c r="AA104" s="13">
        <f>IF(AD104=15,J104,0)</f>
        <v>0</v>
      </c>
      <c r="AB104" s="13">
        <f>IF(AD104=21,J104,0)</f>
        <v>0</v>
      </c>
      <c r="AD104" s="13">
        <v>21</v>
      </c>
      <c r="AE104" s="13">
        <f>G104*0.00364225010117361</f>
        <v>0</v>
      </c>
      <c r="AF104" s="13">
        <f>G104*(1-0.00364225010117361)</f>
        <v>0</v>
      </c>
    </row>
    <row r="105" spans="1:28" ht="12.75">
      <c r="A105" s="7"/>
      <c r="B105" s="7"/>
      <c r="C105" s="7"/>
      <c r="D105" s="7"/>
      <c r="E105" s="7"/>
      <c r="F105" s="7"/>
      <c r="G105" s="7"/>
      <c r="H105" s="57" t="s">
        <v>254</v>
      </c>
      <c r="I105" s="58"/>
      <c r="J105" s="27">
        <f>J12+J15+J23+J26+J34+J36+J50+J72+J89+J93+J102</f>
        <v>0</v>
      </c>
      <c r="K105" s="7"/>
      <c r="L105" s="7"/>
      <c r="Z105" s="28">
        <f>SUM(Z13:Z104)</f>
        <v>0</v>
      </c>
      <c r="AA105" s="28">
        <f>SUM(AA13:AA104)</f>
        <v>0</v>
      </c>
      <c r="AB105" s="28">
        <f>SUM(AB13:AB104)</f>
        <v>0</v>
      </c>
    </row>
  </sheetData>
  <sheetProtection/>
  <mergeCells count="39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G2:H3"/>
    <mergeCell ref="G4:H5"/>
    <mergeCell ref="G6:H7"/>
    <mergeCell ref="G8:H9"/>
    <mergeCell ref="J2:L3"/>
    <mergeCell ref="J4:L5"/>
    <mergeCell ref="J6:L7"/>
    <mergeCell ref="J8:L9"/>
    <mergeCell ref="H10:J10"/>
    <mergeCell ref="K10:L10"/>
    <mergeCell ref="D12:G12"/>
    <mergeCell ref="I8:I9"/>
    <mergeCell ref="E8:F9"/>
    <mergeCell ref="D15:G15"/>
    <mergeCell ref="D23:G23"/>
    <mergeCell ref="D26:G26"/>
    <mergeCell ref="D34:G34"/>
    <mergeCell ref="D93:G93"/>
    <mergeCell ref="D102:G102"/>
    <mergeCell ref="H105:I105"/>
    <mergeCell ref="D36:G36"/>
    <mergeCell ref="D50:G50"/>
    <mergeCell ref="D72:G72"/>
    <mergeCell ref="D89:G89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12.00390625" style="0" customWidth="1"/>
    <col min="2" max="2" width="7.28125" style="0" customWidth="1"/>
    <col min="3" max="3" width="41.7109375" style="0" customWidth="1"/>
    <col min="4" max="4" width="21.7109375" style="0" customWidth="1"/>
    <col min="5" max="5" width="21.00390625" style="0" customWidth="1"/>
    <col min="6" max="6" width="20.8515625" style="0" customWidth="1"/>
    <col min="7" max="7" width="19.28125" style="0" customWidth="1"/>
    <col min="8" max="9" width="12.140625" style="0" hidden="1" customWidth="1"/>
  </cols>
  <sheetData>
    <row r="1" spans="1:7" ht="21.75" customHeight="1">
      <c r="A1" s="76" t="s">
        <v>278</v>
      </c>
      <c r="B1" s="77"/>
      <c r="C1" s="77"/>
      <c r="D1" s="77"/>
      <c r="E1" s="77"/>
      <c r="F1" s="77"/>
      <c r="G1" s="36"/>
    </row>
    <row r="2" spans="1:8" ht="12.75">
      <c r="A2" s="78" t="s">
        <v>1</v>
      </c>
      <c r="B2" s="57" t="s">
        <v>161</v>
      </c>
      <c r="C2" s="58"/>
      <c r="D2" s="64" t="s">
        <v>255</v>
      </c>
      <c r="E2" s="64" t="s">
        <v>260</v>
      </c>
      <c r="F2" s="65"/>
      <c r="G2" s="66"/>
      <c r="H2" s="22"/>
    </row>
    <row r="3" spans="1:8" ht="12.75">
      <c r="A3" s="79"/>
      <c r="B3" s="74"/>
      <c r="C3" s="74"/>
      <c r="D3" s="63"/>
      <c r="E3" s="63"/>
      <c r="F3" s="63"/>
      <c r="G3" s="67"/>
      <c r="H3" s="22"/>
    </row>
    <row r="4" spans="1:8" ht="12.75">
      <c r="A4" s="72" t="s">
        <v>2</v>
      </c>
      <c r="B4" s="61" t="s">
        <v>162</v>
      </c>
      <c r="C4" s="63"/>
      <c r="D4" s="61" t="s">
        <v>256</v>
      </c>
      <c r="E4" s="61" t="s">
        <v>261</v>
      </c>
      <c r="F4" s="63"/>
      <c r="G4" s="67"/>
      <c r="H4" s="22"/>
    </row>
    <row r="5" spans="1:8" ht="12.75">
      <c r="A5" s="79"/>
      <c r="B5" s="63"/>
      <c r="C5" s="63"/>
      <c r="D5" s="63"/>
      <c r="E5" s="63"/>
      <c r="F5" s="63"/>
      <c r="G5" s="67"/>
      <c r="H5" s="22"/>
    </row>
    <row r="6" spans="1:8" ht="12.75">
      <c r="A6" s="72" t="s">
        <v>3</v>
      </c>
      <c r="B6" s="61" t="s">
        <v>163</v>
      </c>
      <c r="C6" s="63"/>
      <c r="D6" s="61" t="s">
        <v>257</v>
      </c>
      <c r="E6" s="61" t="s">
        <v>262</v>
      </c>
      <c r="F6" s="63"/>
      <c r="G6" s="67"/>
      <c r="H6" s="22"/>
    </row>
    <row r="7" spans="1:8" ht="12.75">
      <c r="A7" s="79"/>
      <c r="B7" s="63"/>
      <c r="C7" s="63"/>
      <c r="D7" s="63"/>
      <c r="E7" s="63"/>
      <c r="F7" s="63"/>
      <c r="G7" s="67"/>
      <c r="H7" s="22"/>
    </row>
    <row r="8" spans="1:8" ht="12.75">
      <c r="A8" s="72" t="s">
        <v>258</v>
      </c>
      <c r="B8" s="61"/>
      <c r="C8" s="63"/>
      <c r="D8" s="61" t="s">
        <v>239</v>
      </c>
      <c r="E8" s="75">
        <v>41383</v>
      </c>
      <c r="F8" s="63"/>
      <c r="G8" s="67"/>
      <c r="H8" s="22"/>
    </row>
    <row r="9" spans="1:8" ht="12.75">
      <c r="A9" s="73"/>
      <c r="B9" s="62"/>
      <c r="C9" s="62"/>
      <c r="D9" s="62"/>
      <c r="E9" s="62"/>
      <c r="F9" s="62"/>
      <c r="G9" s="68"/>
      <c r="H9" s="22"/>
    </row>
    <row r="10" spans="1:8" ht="12.75">
      <c r="A10" s="29" t="s">
        <v>88</v>
      </c>
      <c r="B10" s="31" t="s">
        <v>89</v>
      </c>
      <c r="C10" s="32" t="s">
        <v>164</v>
      </c>
      <c r="D10" s="33" t="s">
        <v>279</v>
      </c>
      <c r="E10" s="33" t="s">
        <v>280</v>
      </c>
      <c r="F10" s="33" t="s">
        <v>281</v>
      </c>
      <c r="G10" s="37" t="s">
        <v>282</v>
      </c>
      <c r="H10" s="23"/>
    </row>
    <row r="11" spans="1:9" ht="12.75">
      <c r="A11" s="30"/>
      <c r="B11" s="30" t="s">
        <v>67</v>
      </c>
      <c r="C11" s="30" t="s">
        <v>165</v>
      </c>
      <c r="D11" s="34">
        <f>'Stavební rozpočet'!H12</f>
        <v>0</v>
      </c>
      <c r="E11" s="34">
        <f>'Stavební rozpočet'!I12</f>
        <v>0</v>
      </c>
      <c r="F11" s="34">
        <f aca="true" t="shared" si="0" ref="F11:F21">D11+E11</f>
        <v>0</v>
      </c>
      <c r="G11" s="34">
        <v>3.7475</v>
      </c>
      <c r="H11" s="13" t="s">
        <v>283</v>
      </c>
      <c r="I11" s="13">
        <f aca="true" t="shared" si="1" ref="I11:I21">IF(H11="T",0,F11)</f>
        <v>0</v>
      </c>
    </row>
    <row r="12" spans="1:9" ht="12.75">
      <c r="A12" s="4"/>
      <c r="B12" s="4" t="s">
        <v>92</v>
      </c>
      <c r="C12" s="4" t="s">
        <v>168</v>
      </c>
      <c r="D12" s="13">
        <f>'Stavební rozpočet'!H15</f>
        <v>0</v>
      </c>
      <c r="E12" s="13">
        <f>'Stavební rozpočet'!I15</f>
        <v>0</v>
      </c>
      <c r="F12" s="13">
        <f t="shared" si="0"/>
        <v>0</v>
      </c>
      <c r="G12" s="13">
        <v>13.61408</v>
      </c>
      <c r="H12" s="13" t="s">
        <v>283</v>
      </c>
      <c r="I12" s="13">
        <f t="shared" si="1"/>
        <v>0</v>
      </c>
    </row>
    <row r="13" spans="1:9" ht="12.75">
      <c r="A13" s="4"/>
      <c r="B13" s="4" t="s">
        <v>100</v>
      </c>
      <c r="C13" s="4" t="s">
        <v>176</v>
      </c>
      <c r="D13" s="13">
        <f>'Stavební rozpočet'!H23</f>
        <v>0</v>
      </c>
      <c r="E13" s="13">
        <f>'Stavební rozpočet'!I23</f>
        <v>0</v>
      </c>
      <c r="F13" s="13">
        <f t="shared" si="0"/>
        <v>0</v>
      </c>
      <c r="G13" s="13">
        <v>0.00258</v>
      </c>
      <c r="H13" s="13" t="s">
        <v>283</v>
      </c>
      <c r="I13" s="13">
        <f t="shared" si="1"/>
        <v>0</v>
      </c>
    </row>
    <row r="14" spans="1:9" ht="12.75">
      <c r="A14" s="4"/>
      <c r="B14" s="4" t="s">
        <v>103</v>
      </c>
      <c r="C14" s="4" t="s">
        <v>179</v>
      </c>
      <c r="D14" s="13">
        <f>'Stavební rozpočet'!H26</f>
        <v>0</v>
      </c>
      <c r="E14" s="13">
        <f>'Stavební rozpočet'!I26</f>
        <v>0</v>
      </c>
      <c r="F14" s="13">
        <f t="shared" si="0"/>
        <v>0</v>
      </c>
      <c r="G14" s="13">
        <v>3.611</v>
      </c>
      <c r="H14" s="13" t="s">
        <v>283</v>
      </c>
      <c r="I14" s="13">
        <f t="shared" si="1"/>
        <v>0</v>
      </c>
    </row>
    <row r="15" spans="1:9" ht="12.75">
      <c r="A15" s="4"/>
      <c r="B15" s="4" t="s">
        <v>111</v>
      </c>
      <c r="C15" s="4" t="s">
        <v>187</v>
      </c>
      <c r="D15" s="13">
        <f>'Stavební rozpočet'!H34</f>
        <v>0</v>
      </c>
      <c r="E15" s="13">
        <f>'Stavební rozpočet'!I34</f>
        <v>0</v>
      </c>
      <c r="F15" s="13">
        <f t="shared" si="0"/>
        <v>0</v>
      </c>
      <c r="G15" s="13">
        <v>0</v>
      </c>
      <c r="H15" s="13" t="s">
        <v>283</v>
      </c>
      <c r="I15" s="13">
        <f t="shared" si="1"/>
        <v>0</v>
      </c>
    </row>
    <row r="16" spans="1:9" ht="12.75">
      <c r="A16" s="4"/>
      <c r="B16" s="4" t="s">
        <v>113</v>
      </c>
      <c r="C16" s="4" t="s">
        <v>189</v>
      </c>
      <c r="D16" s="13">
        <f>'Stavební rozpočet'!H36</f>
        <v>0</v>
      </c>
      <c r="E16" s="13">
        <f>'Stavební rozpočet'!I36</f>
        <v>0</v>
      </c>
      <c r="F16" s="13">
        <f t="shared" si="0"/>
        <v>0</v>
      </c>
      <c r="G16" s="13">
        <v>3.41302</v>
      </c>
      <c r="H16" s="13" t="s">
        <v>283</v>
      </c>
      <c r="I16" s="13">
        <f t="shared" si="1"/>
        <v>0</v>
      </c>
    </row>
    <row r="17" spans="1:9" ht="12.75">
      <c r="A17" s="4"/>
      <c r="B17" s="4" t="s">
        <v>123</v>
      </c>
      <c r="C17" s="4" t="s">
        <v>199</v>
      </c>
      <c r="D17" s="13">
        <f>'Stavební rozpočet'!H50</f>
        <v>0</v>
      </c>
      <c r="E17" s="13">
        <f>'Stavební rozpočet'!I50</f>
        <v>0</v>
      </c>
      <c r="F17" s="13">
        <f t="shared" si="0"/>
        <v>0</v>
      </c>
      <c r="G17" s="13">
        <v>0.29076</v>
      </c>
      <c r="H17" s="13" t="s">
        <v>283</v>
      </c>
      <c r="I17" s="13">
        <f t="shared" si="1"/>
        <v>0</v>
      </c>
    </row>
    <row r="18" spans="1:9" ht="12.75">
      <c r="A18" s="4"/>
      <c r="B18" s="4" t="s">
        <v>139</v>
      </c>
      <c r="C18" s="4" t="s">
        <v>215</v>
      </c>
      <c r="D18" s="13">
        <f>'Stavební rozpočet'!H72</f>
        <v>0</v>
      </c>
      <c r="E18" s="13">
        <f>'Stavební rozpočet'!I72</f>
        <v>0</v>
      </c>
      <c r="F18" s="13">
        <f t="shared" si="0"/>
        <v>0</v>
      </c>
      <c r="G18" s="13">
        <v>22.06861</v>
      </c>
      <c r="H18" s="13" t="s">
        <v>283</v>
      </c>
      <c r="I18" s="13">
        <f t="shared" si="1"/>
        <v>0</v>
      </c>
    </row>
    <row r="19" spans="1:9" ht="12.75">
      <c r="A19" s="4"/>
      <c r="B19" s="4" t="s">
        <v>146</v>
      </c>
      <c r="C19" s="4" t="s">
        <v>221</v>
      </c>
      <c r="D19" s="13">
        <f>'Stavební rozpočet'!H89</f>
        <v>0</v>
      </c>
      <c r="E19" s="13">
        <f>'Stavební rozpočet'!I89</f>
        <v>0</v>
      </c>
      <c r="F19" s="13">
        <f t="shared" si="0"/>
        <v>0</v>
      </c>
      <c r="G19" s="13">
        <v>0</v>
      </c>
      <c r="H19" s="13" t="s">
        <v>283</v>
      </c>
      <c r="I19" s="13">
        <f t="shared" si="1"/>
        <v>0</v>
      </c>
    </row>
    <row r="20" spans="1:9" ht="12.75">
      <c r="A20" s="4"/>
      <c r="B20" s="4" t="s">
        <v>150</v>
      </c>
      <c r="C20" s="4" t="s">
        <v>225</v>
      </c>
      <c r="D20" s="13">
        <f>'Stavební rozpočet'!H93</f>
        <v>0</v>
      </c>
      <c r="E20" s="13">
        <f>'Stavební rozpočet'!I93</f>
        <v>0</v>
      </c>
      <c r="F20" s="13">
        <f t="shared" si="0"/>
        <v>0</v>
      </c>
      <c r="G20" s="13">
        <v>0.01844</v>
      </c>
      <c r="H20" s="13" t="s">
        <v>283</v>
      </c>
      <c r="I20" s="13">
        <f t="shared" si="1"/>
        <v>0</v>
      </c>
    </row>
    <row r="21" spans="1:9" ht="12.75">
      <c r="A21" s="4"/>
      <c r="B21" s="4" t="s">
        <v>158</v>
      </c>
      <c r="C21" s="4" t="s">
        <v>233</v>
      </c>
      <c r="D21" s="13">
        <f>'Stavební rozpočet'!H102</f>
        <v>0</v>
      </c>
      <c r="E21" s="13">
        <f>'Stavební rozpočet'!I102</f>
        <v>0</v>
      </c>
      <c r="F21" s="13">
        <f t="shared" si="0"/>
        <v>0</v>
      </c>
      <c r="G21" s="13">
        <v>0.08417</v>
      </c>
      <c r="H21" s="13" t="s">
        <v>283</v>
      </c>
      <c r="I21" s="13">
        <f t="shared" si="1"/>
        <v>0</v>
      </c>
    </row>
    <row r="23" spans="5:6" ht="12.75">
      <c r="E23" s="35" t="s">
        <v>254</v>
      </c>
      <c r="F23" s="28">
        <f>SUM(I11:I21)</f>
        <v>0</v>
      </c>
    </row>
  </sheetData>
  <sheetProtection/>
  <mergeCells count="17">
    <mergeCell ref="A1:F1"/>
    <mergeCell ref="A2:A3"/>
    <mergeCell ref="A4:A5"/>
    <mergeCell ref="A6:A7"/>
    <mergeCell ref="D2:D3"/>
    <mergeCell ref="D4:D5"/>
    <mergeCell ref="D6:D7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D8:D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D72" sqref="D71:D72"/>
    </sheetView>
  </sheetViews>
  <sheetFormatPr defaultColWidth="11.421875" defaultRowHeight="12.75"/>
  <cols>
    <col min="1" max="1" width="3.57421875" style="0" customWidth="1"/>
    <col min="2" max="2" width="9.140625" style="0" customWidth="1"/>
    <col min="3" max="3" width="13.28125" style="0" customWidth="1"/>
    <col min="4" max="4" width="44.57421875" style="0" customWidth="1"/>
    <col min="5" max="5" width="10.140625" style="0" customWidth="1"/>
    <col min="6" max="6" width="66.421875" style="0" customWidth="1"/>
    <col min="7" max="7" width="10.8515625" style="0" customWidth="1"/>
    <col min="8" max="8" width="44.00390625" style="0" customWidth="1"/>
  </cols>
  <sheetData>
    <row r="1" spans="1:7" ht="21.75" customHeight="1">
      <c r="A1" s="76" t="s">
        <v>284</v>
      </c>
      <c r="B1" s="77"/>
      <c r="C1" s="77"/>
      <c r="D1" s="77"/>
      <c r="E1" s="77"/>
      <c r="F1" s="77"/>
      <c r="G1" s="77"/>
    </row>
    <row r="2" spans="1:8" ht="12.75">
      <c r="A2" s="78" t="s">
        <v>1</v>
      </c>
      <c r="B2" s="65"/>
      <c r="C2" s="57" t="s">
        <v>161</v>
      </c>
      <c r="D2" s="58"/>
      <c r="E2" s="64" t="s">
        <v>255</v>
      </c>
      <c r="F2" s="64" t="s">
        <v>260</v>
      </c>
      <c r="G2" s="66"/>
      <c r="H2" s="22"/>
    </row>
    <row r="3" spans="1:8" ht="12.75">
      <c r="A3" s="79"/>
      <c r="B3" s="63"/>
      <c r="C3" s="74"/>
      <c r="D3" s="74"/>
      <c r="E3" s="63"/>
      <c r="F3" s="63"/>
      <c r="G3" s="67"/>
      <c r="H3" s="22"/>
    </row>
    <row r="4" spans="1:8" ht="12.75">
      <c r="A4" s="72" t="s">
        <v>2</v>
      </c>
      <c r="B4" s="63"/>
      <c r="C4" s="61" t="s">
        <v>162</v>
      </c>
      <c r="D4" s="63"/>
      <c r="E4" s="61" t="s">
        <v>256</v>
      </c>
      <c r="F4" s="61" t="s">
        <v>261</v>
      </c>
      <c r="G4" s="67"/>
      <c r="H4" s="22"/>
    </row>
    <row r="5" spans="1:8" ht="12.75">
      <c r="A5" s="79"/>
      <c r="B5" s="63"/>
      <c r="C5" s="63"/>
      <c r="D5" s="63"/>
      <c r="E5" s="63"/>
      <c r="F5" s="63"/>
      <c r="G5" s="67"/>
      <c r="H5" s="22"/>
    </row>
    <row r="6" spans="1:8" ht="12.75">
      <c r="A6" s="72" t="s">
        <v>3</v>
      </c>
      <c r="B6" s="63"/>
      <c r="C6" s="61" t="s">
        <v>163</v>
      </c>
      <c r="D6" s="63"/>
      <c r="E6" s="61" t="s">
        <v>257</v>
      </c>
      <c r="F6" s="61" t="s">
        <v>262</v>
      </c>
      <c r="G6" s="67"/>
      <c r="H6" s="22"/>
    </row>
    <row r="7" spans="1:8" ht="12.75">
      <c r="A7" s="79"/>
      <c r="B7" s="63"/>
      <c r="C7" s="63"/>
      <c r="D7" s="63"/>
      <c r="E7" s="63"/>
      <c r="F7" s="63"/>
      <c r="G7" s="67"/>
      <c r="H7" s="22"/>
    </row>
    <row r="8" spans="1:8" ht="12.75">
      <c r="A8" s="72" t="s">
        <v>258</v>
      </c>
      <c r="B8" s="63"/>
      <c r="C8" s="61"/>
      <c r="D8" s="63"/>
      <c r="E8" s="80" t="s">
        <v>239</v>
      </c>
      <c r="F8" s="75">
        <v>41383</v>
      </c>
      <c r="G8" s="67"/>
      <c r="H8" s="22"/>
    </row>
    <row r="9" spans="1:8" ht="12.75">
      <c r="A9" s="73"/>
      <c r="B9" s="62"/>
      <c r="C9" s="62"/>
      <c r="D9" s="62"/>
      <c r="E9" s="81"/>
      <c r="F9" s="62"/>
      <c r="G9" s="68"/>
      <c r="H9" s="22"/>
    </row>
    <row r="10" spans="1:8" ht="12.75">
      <c r="A10" s="31" t="s">
        <v>6</v>
      </c>
      <c r="B10" s="32" t="s">
        <v>88</v>
      </c>
      <c r="C10" s="32" t="s">
        <v>89</v>
      </c>
      <c r="D10" s="32" t="s">
        <v>164</v>
      </c>
      <c r="E10" s="32" t="s">
        <v>240</v>
      </c>
      <c r="F10" s="32" t="s">
        <v>285</v>
      </c>
      <c r="G10" s="38" t="s">
        <v>249</v>
      </c>
      <c r="H10" s="23"/>
    </row>
    <row r="11" spans="1:7" ht="12.75">
      <c r="A11" s="30" t="s">
        <v>7</v>
      </c>
      <c r="B11" s="30"/>
      <c r="C11" s="30" t="s">
        <v>90</v>
      </c>
      <c r="D11" s="50" t="s">
        <v>166</v>
      </c>
      <c r="E11" s="30" t="s">
        <v>241</v>
      </c>
      <c r="F11" s="30" t="s">
        <v>286</v>
      </c>
      <c r="G11" s="34">
        <v>72.22</v>
      </c>
    </row>
    <row r="12" spans="1:7" ht="12.75">
      <c r="A12" s="4" t="s">
        <v>8</v>
      </c>
      <c r="B12" s="4"/>
      <c r="C12" s="4" t="s">
        <v>91</v>
      </c>
      <c r="D12" s="51" t="s">
        <v>167</v>
      </c>
      <c r="E12" s="4" t="s">
        <v>241</v>
      </c>
      <c r="F12" s="4" t="s">
        <v>286</v>
      </c>
      <c r="G12" s="13">
        <v>72.22</v>
      </c>
    </row>
    <row r="13" spans="1:7" ht="25.5">
      <c r="A13" s="4" t="s">
        <v>9</v>
      </c>
      <c r="B13" s="4"/>
      <c r="C13" s="4" t="s">
        <v>93</v>
      </c>
      <c r="D13" s="51" t="s">
        <v>169</v>
      </c>
      <c r="E13" s="4" t="s">
        <v>241</v>
      </c>
      <c r="F13" s="4" t="s">
        <v>287</v>
      </c>
      <c r="G13" s="13">
        <v>278.1</v>
      </c>
    </row>
    <row r="14" spans="1:7" ht="12.75">
      <c r="A14" s="4" t="s">
        <v>10</v>
      </c>
      <c r="B14" s="4"/>
      <c r="C14" s="4" t="s">
        <v>94</v>
      </c>
      <c r="D14" s="51" t="s">
        <v>170</v>
      </c>
      <c r="E14" s="4" t="s">
        <v>241</v>
      </c>
      <c r="F14" s="4" t="s">
        <v>288</v>
      </c>
      <c r="G14" s="13">
        <v>278.1</v>
      </c>
    </row>
    <row r="15" spans="1:7" ht="25.5">
      <c r="A15" s="4" t="s">
        <v>11</v>
      </c>
      <c r="B15" s="4"/>
      <c r="C15" s="4" t="s">
        <v>95</v>
      </c>
      <c r="D15" s="51" t="s">
        <v>171</v>
      </c>
      <c r="E15" s="4" t="s">
        <v>241</v>
      </c>
      <c r="F15" s="4" t="s">
        <v>288</v>
      </c>
      <c r="G15" s="13">
        <v>278.1</v>
      </c>
    </row>
    <row r="16" spans="1:7" ht="12.75">
      <c r="A16" s="4" t="s">
        <v>12</v>
      </c>
      <c r="B16" s="4"/>
      <c r="C16" s="4" t="s">
        <v>96</v>
      </c>
      <c r="D16" s="51" t="s">
        <v>172</v>
      </c>
      <c r="E16" s="4" t="s">
        <v>241</v>
      </c>
      <c r="F16" s="4" t="s">
        <v>289</v>
      </c>
      <c r="G16" s="13">
        <v>7.92</v>
      </c>
    </row>
    <row r="17" spans="1:7" ht="25.5">
      <c r="A17" s="4" t="s">
        <v>13</v>
      </c>
      <c r="B17" s="4"/>
      <c r="C17" s="4" t="s">
        <v>97</v>
      </c>
      <c r="D17" s="51" t="s">
        <v>173</v>
      </c>
      <c r="E17" s="4" t="s">
        <v>242</v>
      </c>
      <c r="F17" s="4" t="s">
        <v>290</v>
      </c>
      <c r="G17" s="13">
        <v>216.15</v>
      </c>
    </row>
    <row r="18" spans="1:7" ht="12.75">
      <c r="A18" s="4" t="s">
        <v>14</v>
      </c>
      <c r="B18" s="4"/>
      <c r="C18" s="4" t="s">
        <v>98</v>
      </c>
      <c r="D18" s="51" t="s">
        <v>174</v>
      </c>
      <c r="E18" s="4" t="s">
        <v>242</v>
      </c>
      <c r="F18" s="4" t="s">
        <v>290</v>
      </c>
      <c r="G18" s="13">
        <v>216.15</v>
      </c>
    </row>
    <row r="19" spans="1:7" ht="25.5">
      <c r="A19" s="4" t="s">
        <v>15</v>
      </c>
      <c r="B19" s="4"/>
      <c r="C19" s="4" t="s">
        <v>99</v>
      </c>
      <c r="D19" s="51" t="s">
        <v>175</v>
      </c>
      <c r="E19" s="4" t="s">
        <v>242</v>
      </c>
      <c r="F19" s="4" t="s">
        <v>290</v>
      </c>
      <c r="G19" s="13">
        <v>216.15</v>
      </c>
    </row>
    <row r="20" spans="1:7" ht="12.75">
      <c r="A20" s="4" t="s">
        <v>16</v>
      </c>
      <c r="B20" s="4"/>
      <c r="C20" s="4" t="s">
        <v>101</v>
      </c>
      <c r="D20" s="51" t="s">
        <v>177</v>
      </c>
      <c r="E20" s="4" t="s">
        <v>241</v>
      </c>
      <c r="F20" s="4" t="s">
        <v>291</v>
      </c>
      <c r="G20" s="13">
        <v>64.6</v>
      </c>
    </row>
    <row r="21" spans="1:7" ht="25.5">
      <c r="A21" s="4" t="s">
        <v>17</v>
      </c>
      <c r="B21" s="4"/>
      <c r="C21" s="4" t="s">
        <v>102</v>
      </c>
      <c r="D21" s="51" t="s">
        <v>178</v>
      </c>
      <c r="E21" s="4" t="s">
        <v>243</v>
      </c>
      <c r="F21" s="4" t="s">
        <v>38</v>
      </c>
      <c r="G21" s="13">
        <v>32</v>
      </c>
    </row>
    <row r="22" spans="1:7" ht="12.75">
      <c r="A22" s="4" t="s">
        <v>18</v>
      </c>
      <c r="B22" s="4"/>
      <c r="C22" s="4" t="s">
        <v>104</v>
      </c>
      <c r="D22" s="51" t="s">
        <v>180</v>
      </c>
      <c r="E22" s="4" t="s">
        <v>241</v>
      </c>
      <c r="F22" s="4" t="s">
        <v>286</v>
      </c>
      <c r="G22" s="13">
        <v>72.22</v>
      </c>
    </row>
    <row r="23" spans="1:7" ht="12.75">
      <c r="A23" s="4" t="s">
        <v>19</v>
      </c>
      <c r="B23" s="4"/>
      <c r="C23" s="4" t="s">
        <v>105</v>
      </c>
      <c r="D23" s="51" t="s">
        <v>181</v>
      </c>
      <c r="E23" s="4" t="s">
        <v>244</v>
      </c>
      <c r="F23" s="4" t="s">
        <v>292</v>
      </c>
      <c r="G23" s="13">
        <v>3.61</v>
      </c>
    </row>
    <row r="24" spans="1:7" ht="12.75">
      <c r="A24" s="4" t="s">
        <v>20</v>
      </c>
      <c r="B24" s="4"/>
      <c r="C24" s="4" t="s">
        <v>106</v>
      </c>
      <c r="D24" s="51" t="s">
        <v>182</v>
      </c>
      <c r="E24" s="4" t="s">
        <v>244</v>
      </c>
      <c r="F24" s="4" t="s">
        <v>293</v>
      </c>
      <c r="G24" s="13">
        <v>7.22</v>
      </c>
    </row>
    <row r="25" spans="1:7" ht="12.75">
      <c r="A25" s="4" t="s">
        <v>21</v>
      </c>
      <c r="B25" s="4"/>
      <c r="C25" s="4" t="s">
        <v>107</v>
      </c>
      <c r="D25" s="51" t="s">
        <v>183</v>
      </c>
      <c r="E25" s="4" t="s">
        <v>244</v>
      </c>
      <c r="F25" s="4" t="s">
        <v>292</v>
      </c>
      <c r="G25" s="13">
        <v>3.61</v>
      </c>
    </row>
    <row r="26" spans="1:7" ht="12.75">
      <c r="A26" s="4" t="s">
        <v>22</v>
      </c>
      <c r="B26" s="4"/>
      <c r="C26" s="4" t="s">
        <v>108</v>
      </c>
      <c r="D26" s="51" t="s">
        <v>184</v>
      </c>
      <c r="E26" s="4" t="s">
        <v>244</v>
      </c>
      <c r="F26" s="4" t="s">
        <v>294</v>
      </c>
      <c r="G26" s="13">
        <v>36.11</v>
      </c>
    </row>
    <row r="27" spans="1:7" ht="12.75">
      <c r="A27" s="4" t="s">
        <v>23</v>
      </c>
      <c r="B27" s="4"/>
      <c r="C27" s="4" t="s">
        <v>109</v>
      </c>
      <c r="D27" s="51" t="s">
        <v>185</v>
      </c>
      <c r="E27" s="4" t="s">
        <v>244</v>
      </c>
      <c r="F27" s="4" t="s">
        <v>292</v>
      </c>
      <c r="G27" s="13">
        <v>3.61</v>
      </c>
    </row>
    <row r="28" spans="1:7" ht="12.75">
      <c r="A28" s="4" t="s">
        <v>24</v>
      </c>
      <c r="B28" s="4"/>
      <c r="C28" s="4" t="s">
        <v>110</v>
      </c>
      <c r="D28" s="51" t="s">
        <v>186</v>
      </c>
      <c r="E28" s="4" t="s">
        <v>244</v>
      </c>
      <c r="F28" s="4" t="s">
        <v>292</v>
      </c>
      <c r="G28" s="13">
        <v>3.61</v>
      </c>
    </row>
    <row r="29" spans="1:7" ht="12.75">
      <c r="A29" s="4" t="s">
        <v>25</v>
      </c>
      <c r="B29" s="4"/>
      <c r="C29" s="4" t="s">
        <v>112</v>
      </c>
      <c r="D29" s="51" t="s">
        <v>188</v>
      </c>
      <c r="E29" s="4" t="s">
        <v>244</v>
      </c>
      <c r="F29" s="4" t="s">
        <v>295</v>
      </c>
      <c r="G29" s="13">
        <v>26.77</v>
      </c>
    </row>
    <row r="30" spans="1:7" ht="12.75">
      <c r="A30" s="4" t="s">
        <v>26</v>
      </c>
      <c r="B30" s="4"/>
      <c r="C30" s="4" t="s">
        <v>114</v>
      </c>
      <c r="D30" s="51" t="s">
        <v>190</v>
      </c>
      <c r="E30" s="4" t="s">
        <v>241</v>
      </c>
      <c r="F30" s="4" t="s">
        <v>296</v>
      </c>
      <c r="G30" s="13">
        <v>135.01</v>
      </c>
    </row>
    <row r="31" spans="1:7" ht="12.75">
      <c r="A31" s="4" t="s">
        <v>27</v>
      </c>
      <c r="B31" s="4"/>
      <c r="C31" s="4" t="s">
        <v>115</v>
      </c>
      <c r="D31" s="51" t="s">
        <v>191</v>
      </c>
      <c r="E31" s="4" t="s">
        <v>241</v>
      </c>
      <c r="F31" s="4" t="s">
        <v>296</v>
      </c>
      <c r="G31" s="13">
        <v>135.01</v>
      </c>
    </row>
    <row r="32" spans="1:7" ht="12.75">
      <c r="A32" s="4" t="s">
        <v>28</v>
      </c>
      <c r="B32" s="4"/>
      <c r="C32" s="4" t="s">
        <v>116</v>
      </c>
      <c r="D32" s="51" t="s">
        <v>192</v>
      </c>
      <c r="E32" s="4" t="s">
        <v>241</v>
      </c>
      <c r="F32" s="4" t="s">
        <v>296</v>
      </c>
      <c r="G32" s="13">
        <v>135.01</v>
      </c>
    </row>
    <row r="33" spans="1:7" ht="12.75">
      <c r="A33" s="4" t="s">
        <v>29</v>
      </c>
      <c r="B33" s="4"/>
      <c r="C33" s="4" t="s">
        <v>117</v>
      </c>
      <c r="D33" s="51" t="s">
        <v>193</v>
      </c>
      <c r="E33" s="4" t="s">
        <v>245</v>
      </c>
      <c r="F33" s="4" t="s">
        <v>297</v>
      </c>
      <c r="G33" s="13">
        <v>1008.81</v>
      </c>
    </row>
    <row r="34" spans="1:7" ht="12.75">
      <c r="A34" s="4" t="s">
        <v>30</v>
      </c>
      <c r="B34" s="4"/>
      <c r="C34" s="4" t="s">
        <v>118</v>
      </c>
      <c r="D34" s="51" t="s">
        <v>194</v>
      </c>
      <c r="E34" s="4" t="s">
        <v>241</v>
      </c>
      <c r="F34" s="4" t="s">
        <v>298</v>
      </c>
      <c r="G34" s="13">
        <v>201.76</v>
      </c>
    </row>
    <row r="35" spans="1:7" ht="25.5">
      <c r="A35" s="4" t="s">
        <v>31</v>
      </c>
      <c r="B35" s="4"/>
      <c r="C35" s="4" t="s">
        <v>119</v>
      </c>
      <c r="D35" s="51" t="s">
        <v>195</v>
      </c>
      <c r="E35" s="4" t="s">
        <v>242</v>
      </c>
      <c r="F35" s="4" t="s">
        <v>8</v>
      </c>
      <c r="G35" s="13">
        <v>2</v>
      </c>
    </row>
    <row r="36" spans="1:7" ht="25.5">
      <c r="A36" s="4" t="s">
        <v>32</v>
      </c>
      <c r="B36" s="4"/>
      <c r="C36" s="4" t="s">
        <v>120</v>
      </c>
      <c r="D36" s="51" t="s">
        <v>196</v>
      </c>
      <c r="E36" s="4" t="s">
        <v>244</v>
      </c>
      <c r="F36" s="4" t="s">
        <v>299</v>
      </c>
      <c r="G36" s="13">
        <v>2.47</v>
      </c>
    </row>
    <row r="37" spans="1:7" ht="12.75">
      <c r="A37" s="4" t="s">
        <v>33</v>
      </c>
      <c r="B37" s="4"/>
      <c r="C37" s="4" t="s">
        <v>121</v>
      </c>
      <c r="D37" s="51" t="s">
        <v>197</v>
      </c>
      <c r="E37" s="4" t="s">
        <v>244</v>
      </c>
      <c r="F37" s="4" t="s">
        <v>300</v>
      </c>
      <c r="G37" s="13">
        <v>2.05</v>
      </c>
    </row>
    <row r="38" spans="1:7" ht="25.5">
      <c r="A38" s="4" t="s">
        <v>34</v>
      </c>
      <c r="B38" s="4"/>
      <c r="C38" s="4" t="s">
        <v>122</v>
      </c>
      <c r="D38" s="51" t="s">
        <v>198</v>
      </c>
      <c r="E38" s="4" t="s">
        <v>244</v>
      </c>
      <c r="F38" s="4" t="s">
        <v>301</v>
      </c>
      <c r="G38" s="13">
        <v>4.1</v>
      </c>
    </row>
    <row r="39" spans="1:7" ht="12.75">
      <c r="A39" s="4" t="s">
        <v>35</v>
      </c>
      <c r="B39" s="4"/>
      <c r="C39" s="4" t="s">
        <v>107</v>
      </c>
      <c r="D39" s="51" t="s">
        <v>183</v>
      </c>
      <c r="E39" s="4" t="s">
        <v>244</v>
      </c>
      <c r="F39" s="4" t="s">
        <v>302</v>
      </c>
      <c r="G39" s="13">
        <v>2.05</v>
      </c>
    </row>
    <row r="40" spans="1:7" ht="12.75">
      <c r="A40" s="4" t="s">
        <v>36</v>
      </c>
      <c r="B40" s="4"/>
      <c r="C40" s="4" t="s">
        <v>108</v>
      </c>
      <c r="D40" s="51" t="s">
        <v>184</v>
      </c>
      <c r="E40" s="4" t="s">
        <v>244</v>
      </c>
      <c r="F40" s="4" t="s">
        <v>303</v>
      </c>
      <c r="G40" s="13">
        <v>20.5</v>
      </c>
    </row>
    <row r="41" spans="1:7" ht="12.75">
      <c r="A41" s="4" t="s">
        <v>37</v>
      </c>
      <c r="B41" s="4"/>
      <c r="C41" s="4" t="s">
        <v>109</v>
      </c>
      <c r="D41" s="51" t="s">
        <v>185</v>
      </c>
      <c r="E41" s="4" t="s">
        <v>244</v>
      </c>
      <c r="F41" s="4" t="s">
        <v>302</v>
      </c>
      <c r="G41" s="13">
        <v>2.05</v>
      </c>
    </row>
    <row r="42" spans="1:7" ht="12.75">
      <c r="A42" s="4" t="s">
        <v>38</v>
      </c>
      <c r="B42" s="4"/>
      <c r="C42" s="4" t="s">
        <v>110</v>
      </c>
      <c r="D42" s="51" t="s">
        <v>186</v>
      </c>
      <c r="E42" s="4" t="s">
        <v>244</v>
      </c>
      <c r="F42" s="4" t="s">
        <v>302</v>
      </c>
      <c r="G42" s="13">
        <v>2.05</v>
      </c>
    </row>
    <row r="43" spans="1:7" ht="12.75">
      <c r="A43" s="4" t="s">
        <v>39</v>
      </c>
      <c r="B43" s="4"/>
      <c r="C43" s="4" t="s">
        <v>124</v>
      </c>
      <c r="D43" s="51" t="s">
        <v>200</v>
      </c>
      <c r="E43" s="4" t="s">
        <v>246</v>
      </c>
      <c r="F43" s="4" t="s">
        <v>304</v>
      </c>
      <c r="G43" s="13">
        <v>30</v>
      </c>
    </row>
    <row r="44" spans="1:7" ht="25.5">
      <c r="A44" s="4" t="s">
        <v>40</v>
      </c>
      <c r="B44" s="4"/>
      <c r="C44" s="4" t="s">
        <v>125</v>
      </c>
      <c r="D44" s="51" t="s">
        <v>201</v>
      </c>
      <c r="E44" s="4" t="s">
        <v>245</v>
      </c>
      <c r="F44" s="4" t="s">
        <v>305</v>
      </c>
      <c r="G44" s="13">
        <v>31.33</v>
      </c>
    </row>
    <row r="45" spans="1:7" ht="12.75">
      <c r="A45" s="4" t="s">
        <v>41</v>
      </c>
      <c r="B45" s="4"/>
      <c r="C45" s="4" t="s">
        <v>126</v>
      </c>
      <c r="D45" s="51" t="s">
        <v>202</v>
      </c>
      <c r="E45" s="4" t="s">
        <v>245</v>
      </c>
      <c r="F45" s="4" t="s">
        <v>306</v>
      </c>
      <c r="G45" s="13">
        <v>7.9</v>
      </c>
    </row>
    <row r="46" spans="1:7" ht="25.5">
      <c r="A46" s="4" t="s">
        <v>42</v>
      </c>
      <c r="B46" s="4"/>
      <c r="C46" s="4" t="s">
        <v>127</v>
      </c>
      <c r="D46" s="51" t="s">
        <v>203</v>
      </c>
      <c r="E46" s="4" t="s">
        <v>245</v>
      </c>
      <c r="F46" s="4" t="s">
        <v>307</v>
      </c>
      <c r="G46" s="13">
        <v>7.1</v>
      </c>
    </row>
    <row r="47" spans="1:7" ht="12.75">
      <c r="A47" s="4" t="s">
        <v>43</v>
      </c>
      <c r="B47" s="4"/>
      <c r="C47" s="4" t="s">
        <v>128</v>
      </c>
      <c r="D47" s="51" t="s">
        <v>204</v>
      </c>
      <c r="E47" s="4" t="s">
        <v>245</v>
      </c>
      <c r="F47" s="4" t="s">
        <v>308</v>
      </c>
      <c r="G47" s="13">
        <v>3.12</v>
      </c>
    </row>
    <row r="48" spans="1:7" ht="12.75">
      <c r="A48" s="4" t="s">
        <v>44</v>
      </c>
      <c r="B48" s="4"/>
      <c r="C48" s="4" t="s">
        <v>129</v>
      </c>
      <c r="D48" s="51" t="s">
        <v>205</v>
      </c>
      <c r="E48" s="4" t="s">
        <v>245</v>
      </c>
      <c r="F48" s="4" t="s">
        <v>309</v>
      </c>
      <c r="G48" s="13">
        <v>7.2</v>
      </c>
    </row>
    <row r="49" spans="1:7" ht="12.75">
      <c r="A49" s="4" t="s">
        <v>45</v>
      </c>
      <c r="B49" s="4"/>
      <c r="C49" s="4" t="s">
        <v>130</v>
      </c>
      <c r="D49" s="51" t="s">
        <v>206</v>
      </c>
      <c r="E49" s="4" t="s">
        <v>245</v>
      </c>
      <c r="F49" s="4" t="s">
        <v>310</v>
      </c>
      <c r="G49" s="13">
        <v>5.2</v>
      </c>
    </row>
    <row r="50" spans="1:7" ht="25.5">
      <c r="A50" s="4" t="s">
        <v>46</v>
      </c>
      <c r="B50" s="4"/>
      <c r="C50" s="4" t="s">
        <v>131</v>
      </c>
      <c r="D50" s="51" t="s">
        <v>207</v>
      </c>
      <c r="E50" s="4" t="s">
        <v>246</v>
      </c>
      <c r="F50" s="4" t="s">
        <v>36</v>
      </c>
      <c r="G50" s="13">
        <v>30</v>
      </c>
    </row>
    <row r="51" spans="1:7" ht="25.5">
      <c r="A51" s="4" t="s">
        <v>47</v>
      </c>
      <c r="B51" s="4"/>
      <c r="C51" s="4" t="s">
        <v>132</v>
      </c>
      <c r="D51" s="51" t="s">
        <v>208</v>
      </c>
      <c r="E51" s="4" t="s">
        <v>245</v>
      </c>
      <c r="F51" s="4" t="s">
        <v>305</v>
      </c>
      <c r="G51" s="13">
        <v>31.33</v>
      </c>
    </row>
    <row r="52" spans="1:7" ht="25.5">
      <c r="A52" s="4" t="s">
        <v>48</v>
      </c>
      <c r="B52" s="4"/>
      <c r="C52" s="4" t="s">
        <v>133</v>
      </c>
      <c r="D52" s="51" t="s">
        <v>209</v>
      </c>
      <c r="E52" s="4" t="s">
        <v>245</v>
      </c>
      <c r="F52" s="4" t="s">
        <v>306</v>
      </c>
      <c r="G52" s="13">
        <v>7.9</v>
      </c>
    </row>
    <row r="53" spans="1:7" ht="12.75">
      <c r="A53" s="4" t="s">
        <v>49</v>
      </c>
      <c r="B53" s="4"/>
      <c r="C53" s="4" t="s">
        <v>134</v>
      </c>
      <c r="D53" s="51" t="s">
        <v>210</v>
      </c>
      <c r="E53" s="4" t="s">
        <v>245</v>
      </c>
      <c r="F53" s="4" t="s">
        <v>307</v>
      </c>
      <c r="G53" s="13">
        <v>7.1</v>
      </c>
    </row>
    <row r="54" spans="1:7" ht="12.75">
      <c r="A54" s="4" t="s">
        <v>50</v>
      </c>
      <c r="B54" s="4"/>
      <c r="C54" s="4" t="s">
        <v>135</v>
      </c>
      <c r="D54" s="51" t="s">
        <v>211</v>
      </c>
      <c r="E54" s="4" t="s">
        <v>245</v>
      </c>
      <c r="F54" s="4" t="s">
        <v>308</v>
      </c>
      <c r="G54" s="13">
        <v>3.12</v>
      </c>
    </row>
    <row r="55" spans="1:7" ht="12.75">
      <c r="A55" s="4" t="s">
        <v>51</v>
      </c>
      <c r="B55" s="4"/>
      <c r="C55" s="4" t="s">
        <v>136</v>
      </c>
      <c r="D55" s="51" t="s">
        <v>212</v>
      </c>
      <c r="E55" s="4" t="s">
        <v>245</v>
      </c>
      <c r="F55" s="4" t="s">
        <v>309</v>
      </c>
      <c r="G55" s="13">
        <v>7.2</v>
      </c>
    </row>
    <row r="56" spans="1:7" ht="12.75">
      <c r="A56" s="4" t="s">
        <v>52</v>
      </c>
      <c r="B56" s="4"/>
      <c r="C56" s="4" t="s">
        <v>137</v>
      </c>
      <c r="D56" s="51" t="s">
        <v>213</v>
      </c>
      <c r="E56" s="4" t="s">
        <v>245</v>
      </c>
      <c r="F56" s="4" t="s">
        <v>310</v>
      </c>
      <c r="G56" s="13">
        <v>5.2</v>
      </c>
    </row>
    <row r="57" spans="1:7" ht="12.75">
      <c r="A57" s="4" t="s">
        <v>53</v>
      </c>
      <c r="B57" s="4"/>
      <c r="C57" s="4" t="s">
        <v>138</v>
      </c>
      <c r="D57" s="51" t="s">
        <v>214</v>
      </c>
      <c r="E57" s="4" t="s">
        <v>244</v>
      </c>
      <c r="F57" s="4" t="s">
        <v>311</v>
      </c>
      <c r="G57" s="13">
        <v>0.09</v>
      </c>
    </row>
    <row r="58" spans="1:7" ht="12.75">
      <c r="A58" s="4" t="s">
        <v>54</v>
      </c>
      <c r="B58" s="4"/>
      <c r="C58" s="4" t="s">
        <v>121</v>
      </c>
      <c r="D58" s="51" t="s">
        <v>197</v>
      </c>
      <c r="E58" s="4" t="s">
        <v>244</v>
      </c>
      <c r="F58" s="4" t="s">
        <v>312</v>
      </c>
      <c r="G58" s="13">
        <v>0.2</v>
      </c>
    </row>
    <row r="59" spans="1:7" ht="25.5">
      <c r="A59" s="4" t="s">
        <v>55</v>
      </c>
      <c r="B59" s="4"/>
      <c r="C59" s="4" t="s">
        <v>122</v>
      </c>
      <c r="D59" s="51" t="s">
        <v>198</v>
      </c>
      <c r="E59" s="4" t="s">
        <v>244</v>
      </c>
      <c r="F59" s="4" t="s">
        <v>313</v>
      </c>
      <c r="G59" s="13">
        <v>0.2</v>
      </c>
    </row>
    <row r="60" spans="1:7" ht="12.75">
      <c r="A60" s="4" t="s">
        <v>56</v>
      </c>
      <c r="B60" s="4"/>
      <c r="C60" s="4" t="s">
        <v>107</v>
      </c>
      <c r="D60" s="51" t="s">
        <v>183</v>
      </c>
      <c r="E60" s="4" t="s">
        <v>244</v>
      </c>
      <c r="F60" s="4" t="s">
        <v>313</v>
      </c>
      <c r="G60" s="13">
        <v>0.2</v>
      </c>
    </row>
    <row r="61" spans="1:7" ht="12.75">
      <c r="A61" s="4" t="s">
        <v>57</v>
      </c>
      <c r="B61" s="4"/>
      <c r="C61" s="4" t="s">
        <v>108</v>
      </c>
      <c r="D61" s="51" t="s">
        <v>184</v>
      </c>
      <c r="E61" s="4" t="s">
        <v>244</v>
      </c>
      <c r="F61" s="4" t="s">
        <v>314</v>
      </c>
      <c r="G61" s="13">
        <v>2</v>
      </c>
    </row>
    <row r="62" spans="1:7" ht="12.75">
      <c r="A62" s="4" t="s">
        <v>58</v>
      </c>
      <c r="B62" s="4"/>
      <c r="C62" s="4" t="s">
        <v>109</v>
      </c>
      <c r="D62" s="51" t="s">
        <v>185</v>
      </c>
      <c r="E62" s="4" t="s">
        <v>244</v>
      </c>
      <c r="F62" s="4" t="s">
        <v>313</v>
      </c>
      <c r="G62" s="13">
        <v>0.2</v>
      </c>
    </row>
    <row r="63" spans="1:7" ht="12.75">
      <c r="A63" s="4" t="s">
        <v>59</v>
      </c>
      <c r="B63" s="4"/>
      <c r="C63" s="4" t="s">
        <v>110</v>
      </c>
      <c r="D63" s="51" t="s">
        <v>186</v>
      </c>
      <c r="E63" s="4" t="s">
        <v>244</v>
      </c>
      <c r="F63" s="4" t="s">
        <v>313</v>
      </c>
      <c r="G63" s="13">
        <v>0.2</v>
      </c>
    </row>
    <row r="64" spans="1:7" ht="12.75">
      <c r="A64" s="4" t="s">
        <v>60</v>
      </c>
      <c r="B64" s="4"/>
      <c r="C64" s="4" t="s">
        <v>140</v>
      </c>
      <c r="D64" s="51" t="s">
        <v>216</v>
      </c>
      <c r="E64" s="4" t="s">
        <v>241</v>
      </c>
      <c r="F64" s="4" t="s">
        <v>296</v>
      </c>
      <c r="G64" s="13">
        <v>135.01</v>
      </c>
    </row>
    <row r="65" spans="1:7" ht="25.5">
      <c r="A65" s="4" t="s">
        <v>61</v>
      </c>
      <c r="B65" s="4"/>
      <c r="C65" s="4" t="s">
        <v>141</v>
      </c>
      <c r="D65" s="51" t="s">
        <v>217</v>
      </c>
      <c r="E65" s="4" t="s">
        <v>245</v>
      </c>
      <c r="F65" s="4" t="s">
        <v>315</v>
      </c>
      <c r="G65" s="13">
        <v>30.95</v>
      </c>
    </row>
    <row r="66" spans="1:7" ht="12.75">
      <c r="A66" s="4" t="s">
        <v>62</v>
      </c>
      <c r="B66" s="4"/>
      <c r="C66" s="4" t="s">
        <v>142</v>
      </c>
      <c r="D66" s="51" t="s">
        <v>218</v>
      </c>
      <c r="E66" s="4" t="s">
        <v>241</v>
      </c>
      <c r="F66" s="4" t="s">
        <v>316</v>
      </c>
      <c r="G66" s="13">
        <v>135.01</v>
      </c>
    </row>
    <row r="67" spans="1:7" ht="12.75">
      <c r="A67" s="4" t="s">
        <v>63</v>
      </c>
      <c r="B67" s="4"/>
      <c r="C67" s="4" t="s">
        <v>143</v>
      </c>
      <c r="D67" s="51" t="s">
        <v>219</v>
      </c>
      <c r="E67" s="4" t="s">
        <v>241</v>
      </c>
      <c r="F67" s="4" t="s">
        <v>316</v>
      </c>
      <c r="G67" s="13">
        <v>148.51</v>
      </c>
    </row>
    <row r="68" spans="1:7" ht="12.75">
      <c r="A68" s="4"/>
      <c r="B68" s="4"/>
      <c r="C68" s="4"/>
      <c r="D68" s="51"/>
      <c r="E68" s="4"/>
      <c r="F68" s="4" t="s">
        <v>317</v>
      </c>
      <c r="G68" s="13">
        <v>0</v>
      </c>
    </row>
    <row r="69" spans="1:7" ht="25.5">
      <c r="A69" s="109" t="s">
        <v>64</v>
      </c>
      <c r="B69" s="109"/>
      <c r="C69" s="109" t="s">
        <v>372</v>
      </c>
      <c r="D69" s="110" t="s">
        <v>383</v>
      </c>
      <c r="E69" s="109" t="s">
        <v>241</v>
      </c>
      <c r="F69" s="109" t="s">
        <v>296</v>
      </c>
      <c r="G69" s="112">
        <v>135.01</v>
      </c>
    </row>
    <row r="70" spans="1:7" ht="12.75">
      <c r="A70" s="4" t="s">
        <v>65</v>
      </c>
      <c r="B70" s="4"/>
      <c r="C70" s="4" t="s">
        <v>144</v>
      </c>
      <c r="D70" s="51" t="s">
        <v>373</v>
      </c>
      <c r="E70" s="4" t="s">
        <v>241</v>
      </c>
      <c r="F70" s="4" t="s">
        <v>316</v>
      </c>
      <c r="G70" s="13">
        <v>135.01</v>
      </c>
    </row>
    <row r="71" spans="1:7" ht="12.75">
      <c r="A71" s="109" t="s">
        <v>66</v>
      </c>
      <c r="B71" s="109"/>
      <c r="C71" s="109" t="s">
        <v>374</v>
      </c>
      <c r="D71" s="110" t="s">
        <v>375</v>
      </c>
      <c r="E71" s="109" t="s">
        <v>245</v>
      </c>
      <c r="F71" s="109" t="s">
        <v>318</v>
      </c>
      <c r="G71" s="112">
        <v>8.67</v>
      </c>
    </row>
    <row r="72" spans="1:7" ht="12.75">
      <c r="A72" s="109" t="s">
        <v>67</v>
      </c>
      <c r="B72" s="109"/>
      <c r="C72" s="109" t="s">
        <v>376</v>
      </c>
      <c r="D72" s="110" t="s">
        <v>377</v>
      </c>
      <c r="E72" s="109" t="s">
        <v>245</v>
      </c>
      <c r="F72" s="109" t="s">
        <v>319</v>
      </c>
      <c r="G72" s="112">
        <v>22.28</v>
      </c>
    </row>
    <row r="73" spans="1:7" ht="12.75">
      <c r="A73" s="4" t="s">
        <v>68</v>
      </c>
      <c r="B73" s="4"/>
      <c r="C73" s="4" t="s">
        <v>378</v>
      </c>
      <c r="D73" s="51" t="s">
        <v>379</v>
      </c>
      <c r="E73" s="4" t="s">
        <v>245</v>
      </c>
      <c r="F73" s="4" t="s">
        <v>320</v>
      </c>
      <c r="G73" s="13">
        <v>55.39</v>
      </c>
    </row>
    <row r="74" spans="1:7" ht="12.75">
      <c r="A74" s="4" t="s">
        <v>69</v>
      </c>
      <c r="B74" s="4"/>
      <c r="C74" s="4" t="s">
        <v>145</v>
      </c>
      <c r="D74" s="51" t="s">
        <v>220</v>
      </c>
      <c r="E74" s="4" t="s">
        <v>244</v>
      </c>
      <c r="F74" s="4" t="s">
        <v>321</v>
      </c>
      <c r="G74" s="13">
        <v>11.79</v>
      </c>
    </row>
    <row r="75" spans="1:7" ht="12.75">
      <c r="A75" s="4" t="s">
        <v>70</v>
      </c>
      <c r="B75" s="4"/>
      <c r="C75" s="4" t="s">
        <v>121</v>
      </c>
      <c r="D75" s="51" t="s">
        <v>197</v>
      </c>
      <c r="E75" s="4" t="s">
        <v>244</v>
      </c>
      <c r="F75" s="4" t="s">
        <v>322</v>
      </c>
      <c r="G75" s="13">
        <v>10.28</v>
      </c>
    </row>
    <row r="76" spans="1:7" ht="25.5">
      <c r="A76" s="4" t="s">
        <v>71</v>
      </c>
      <c r="B76" s="4"/>
      <c r="C76" s="4" t="s">
        <v>122</v>
      </c>
      <c r="D76" s="51" t="s">
        <v>198</v>
      </c>
      <c r="E76" s="4" t="s">
        <v>244</v>
      </c>
      <c r="F76" s="4" t="s">
        <v>323</v>
      </c>
      <c r="G76" s="13">
        <v>20.57</v>
      </c>
    </row>
    <row r="77" spans="1:7" ht="12.75">
      <c r="A77" s="4" t="s">
        <v>72</v>
      </c>
      <c r="B77" s="4"/>
      <c r="C77" s="4" t="s">
        <v>107</v>
      </c>
      <c r="D77" s="51" t="s">
        <v>183</v>
      </c>
      <c r="E77" s="4" t="s">
        <v>244</v>
      </c>
      <c r="F77" s="4" t="s">
        <v>324</v>
      </c>
      <c r="G77" s="13">
        <v>10.28</v>
      </c>
    </row>
    <row r="78" spans="1:7" ht="12.75">
      <c r="A78" s="4" t="s">
        <v>73</v>
      </c>
      <c r="B78" s="4"/>
      <c r="C78" s="4" t="s">
        <v>108</v>
      </c>
      <c r="D78" s="51" t="s">
        <v>184</v>
      </c>
      <c r="E78" s="4" t="s">
        <v>244</v>
      </c>
      <c r="F78" s="4" t="s">
        <v>325</v>
      </c>
      <c r="G78" s="13">
        <v>102.83</v>
      </c>
    </row>
    <row r="79" spans="1:7" ht="12.75">
      <c r="A79" s="4" t="s">
        <v>74</v>
      </c>
      <c r="B79" s="4"/>
      <c r="C79" s="4" t="s">
        <v>109</v>
      </c>
      <c r="D79" s="51" t="s">
        <v>185</v>
      </c>
      <c r="E79" s="4" t="s">
        <v>244</v>
      </c>
      <c r="F79" s="4" t="s">
        <v>324</v>
      </c>
      <c r="G79" s="13">
        <v>10.28</v>
      </c>
    </row>
    <row r="80" spans="1:7" ht="12.75">
      <c r="A80" s="4" t="s">
        <v>75</v>
      </c>
      <c r="B80" s="4"/>
      <c r="C80" s="4" t="s">
        <v>110</v>
      </c>
      <c r="D80" s="51" t="s">
        <v>186</v>
      </c>
      <c r="E80" s="4" t="s">
        <v>244</v>
      </c>
      <c r="F80" s="4" t="s">
        <v>324</v>
      </c>
      <c r="G80" s="13">
        <v>10.28</v>
      </c>
    </row>
    <row r="81" spans="1:7" ht="12.75">
      <c r="A81" s="4" t="s">
        <v>76</v>
      </c>
      <c r="B81" s="4"/>
      <c r="C81" s="4" t="s">
        <v>147</v>
      </c>
      <c r="D81" s="51" t="s">
        <v>222</v>
      </c>
      <c r="E81" s="4" t="s">
        <v>247</v>
      </c>
      <c r="F81" s="4" t="s">
        <v>7</v>
      </c>
      <c r="G81" s="13">
        <v>1</v>
      </c>
    </row>
    <row r="82" spans="1:7" ht="25.5">
      <c r="A82" s="4" t="s">
        <v>77</v>
      </c>
      <c r="B82" s="4"/>
      <c r="C82" s="4" t="s">
        <v>148</v>
      </c>
      <c r="D82" s="51" t="s">
        <v>223</v>
      </c>
      <c r="E82" s="4" t="s">
        <v>248</v>
      </c>
      <c r="F82" s="4" t="s">
        <v>10</v>
      </c>
      <c r="G82" s="13">
        <v>4</v>
      </c>
    </row>
    <row r="83" spans="1:7" ht="25.5">
      <c r="A83" s="4" t="s">
        <v>78</v>
      </c>
      <c r="B83" s="4"/>
      <c r="C83" s="4" t="s">
        <v>149</v>
      </c>
      <c r="D83" s="51" t="s">
        <v>224</v>
      </c>
      <c r="E83" s="4" t="s">
        <v>247</v>
      </c>
      <c r="F83" s="4" t="s">
        <v>7</v>
      </c>
      <c r="G83" s="13">
        <v>1</v>
      </c>
    </row>
    <row r="84" spans="1:7" ht="12.75">
      <c r="A84" s="4" t="s">
        <v>79</v>
      </c>
      <c r="B84" s="4"/>
      <c r="C84" s="4" t="s">
        <v>151</v>
      </c>
      <c r="D84" s="51" t="s">
        <v>226</v>
      </c>
      <c r="E84" s="4" t="s">
        <v>241</v>
      </c>
      <c r="F84" s="4" t="s">
        <v>326</v>
      </c>
      <c r="G84" s="13">
        <v>15.19</v>
      </c>
    </row>
    <row r="85" spans="1:7" ht="12.75">
      <c r="A85" s="4" t="s">
        <v>80</v>
      </c>
      <c r="B85" s="4"/>
      <c r="C85" s="4" t="s">
        <v>152</v>
      </c>
      <c r="D85" s="51" t="s">
        <v>227</v>
      </c>
      <c r="E85" s="4" t="s">
        <v>241</v>
      </c>
      <c r="F85" s="4" t="s">
        <v>327</v>
      </c>
      <c r="G85" s="13">
        <v>5.56</v>
      </c>
    </row>
    <row r="86" spans="1:7" ht="12.75">
      <c r="A86" s="4" t="s">
        <v>81</v>
      </c>
      <c r="B86" s="4"/>
      <c r="C86" s="4" t="s">
        <v>153</v>
      </c>
      <c r="D86" s="51" t="s">
        <v>228</v>
      </c>
      <c r="E86" s="4" t="s">
        <v>241</v>
      </c>
      <c r="F86" s="4" t="s">
        <v>326</v>
      </c>
      <c r="G86" s="13">
        <v>15.19</v>
      </c>
    </row>
    <row r="87" spans="1:7" ht="12.75">
      <c r="A87" s="4" t="s">
        <v>82</v>
      </c>
      <c r="B87" s="4"/>
      <c r="C87" s="4" t="s">
        <v>154</v>
      </c>
      <c r="D87" s="51" t="s">
        <v>229</v>
      </c>
      <c r="E87" s="4" t="s">
        <v>241</v>
      </c>
      <c r="F87" s="4" t="s">
        <v>327</v>
      </c>
      <c r="G87" s="13">
        <v>5.56</v>
      </c>
    </row>
    <row r="88" spans="1:7" ht="12.75">
      <c r="A88" s="4" t="s">
        <v>83</v>
      </c>
      <c r="B88" s="4"/>
      <c r="C88" s="4" t="s">
        <v>155</v>
      </c>
      <c r="D88" s="51" t="s">
        <v>230</v>
      </c>
      <c r="E88" s="4" t="s">
        <v>241</v>
      </c>
      <c r="F88" s="4" t="s">
        <v>328</v>
      </c>
      <c r="G88" s="13">
        <v>20.75</v>
      </c>
    </row>
    <row r="89" spans="1:7" ht="25.5">
      <c r="A89" s="4" t="s">
        <v>84</v>
      </c>
      <c r="B89" s="4"/>
      <c r="C89" s="4" t="s">
        <v>156</v>
      </c>
      <c r="D89" s="51" t="s">
        <v>231</v>
      </c>
      <c r="E89" s="4" t="s">
        <v>241</v>
      </c>
      <c r="F89" s="4" t="s">
        <v>329</v>
      </c>
      <c r="G89" s="13">
        <v>7.68</v>
      </c>
    </row>
    <row r="90" spans="1:7" ht="25.5">
      <c r="A90" s="4" t="s">
        <v>85</v>
      </c>
      <c r="B90" s="4"/>
      <c r="C90" s="4" t="s">
        <v>157</v>
      </c>
      <c r="D90" s="51" t="s">
        <v>232</v>
      </c>
      <c r="E90" s="4" t="s">
        <v>241</v>
      </c>
      <c r="F90" s="4" t="s">
        <v>329</v>
      </c>
      <c r="G90" s="13">
        <v>7.68</v>
      </c>
    </row>
    <row r="91" spans="1:7" ht="25.5">
      <c r="A91" s="109" t="s">
        <v>86</v>
      </c>
      <c r="B91" s="109"/>
      <c r="C91" s="109" t="s">
        <v>380</v>
      </c>
      <c r="D91" s="110" t="s">
        <v>381</v>
      </c>
      <c r="E91" s="110" t="s">
        <v>246</v>
      </c>
      <c r="F91" s="113">
        <v>6</v>
      </c>
      <c r="G91" s="112">
        <v>6</v>
      </c>
    </row>
    <row r="92" spans="1:7" ht="12.75">
      <c r="A92" s="4" t="s">
        <v>86</v>
      </c>
      <c r="B92" s="4"/>
      <c r="C92" s="4" t="s">
        <v>159</v>
      </c>
      <c r="D92" s="51" t="s">
        <v>234</v>
      </c>
      <c r="E92" s="4" t="s">
        <v>241</v>
      </c>
      <c r="F92" s="4" t="s">
        <v>286</v>
      </c>
      <c r="G92" s="13">
        <v>205.29</v>
      </c>
    </row>
    <row r="93" spans="1:7" ht="12.75">
      <c r="A93" s="4"/>
      <c r="B93" s="4"/>
      <c r="C93" s="4"/>
      <c r="D93" s="51"/>
      <c r="E93" s="4"/>
      <c r="F93" s="4" t="s">
        <v>330</v>
      </c>
      <c r="G93" s="13">
        <v>0</v>
      </c>
    </row>
    <row r="94" spans="1:7" ht="12.75">
      <c r="A94" s="4"/>
      <c r="B94" s="4"/>
      <c r="C94" s="4"/>
      <c r="D94" s="51"/>
      <c r="E94" s="4"/>
      <c r="F94" s="4" t="s">
        <v>331</v>
      </c>
      <c r="G94" s="13">
        <v>0</v>
      </c>
    </row>
    <row r="95" spans="1:7" ht="12.75">
      <c r="A95" s="4" t="s">
        <v>87</v>
      </c>
      <c r="B95" s="4"/>
      <c r="C95" s="4" t="s">
        <v>160</v>
      </c>
      <c r="D95" s="51" t="s">
        <v>235</v>
      </c>
      <c r="E95" s="4" t="s">
        <v>241</v>
      </c>
      <c r="F95" s="4" t="s">
        <v>330</v>
      </c>
      <c r="G95" s="13">
        <v>133.07</v>
      </c>
    </row>
    <row r="96" spans="1:7" ht="12.75">
      <c r="A96" s="4"/>
      <c r="B96" s="4"/>
      <c r="C96" s="4"/>
      <c r="D96" s="4"/>
      <c r="E96" s="4"/>
      <c r="F96" s="4" t="s">
        <v>331</v>
      </c>
      <c r="G96" s="13">
        <v>0</v>
      </c>
    </row>
  </sheetData>
  <sheetProtection/>
  <mergeCells count="17">
    <mergeCell ref="A1:G1"/>
    <mergeCell ref="A2:B3"/>
    <mergeCell ref="A4:B5"/>
    <mergeCell ref="A6:B7"/>
    <mergeCell ref="E2:E3"/>
    <mergeCell ref="E4:E5"/>
    <mergeCell ref="E6:E7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E8:E9"/>
  </mergeCells>
  <printOptions/>
  <pageMargins left="0.787401575" right="0.787401575" top="0.984251969" bottom="0.984251969" header="0.4921259845" footer="0.4921259845"/>
  <pageSetup fitToHeight="3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7" t="s">
        <v>332</v>
      </c>
      <c r="B1" s="108"/>
      <c r="C1" s="108"/>
      <c r="D1" s="108"/>
      <c r="E1" s="108"/>
      <c r="F1" s="108"/>
      <c r="G1" s="108"/>
      <c r="H1" s="108"/>
      <c r="I1" s="108"/>
    </row>
    <row r="2" spans="1:10" ht="12.75">
      <c r="A2" s="78" t="s">
        <v>1</v>
      </c>
      <c r="B2" s="65"/>
      <c r="C2" s="57" t="s">
        <v>161</v>
      </c>
      <c r="D2" s="58"/>
      <c r="E2" s="64" t="s">
        <v>255</v>
      </c>
      <c r="F2" s="64" t="s">
        <v>260</v>
      </c>
      <c r="G2" s="65"/>
      <c r="H2" s="64" t="s">
        <v>368</v>
      </c>
      <c r="I2" s="102"/>
      <c r="J2" s="22"/>
    </row>
    <row r="3" spans="1:10" ht="12.75">
      <c r="A3" s="79"/>
      <c r="B3" s="63"/>
      <c r="C3" s="74"/>
      <c r="D3" s="74"/>
      <c r="E3" s="63"/>
      <c r="F3" s="63"/>
      <c r="G3" s="63"/>
      <c r="H3" s="63"/>
      <c r="I3" s="67"/>
      <c r="J3" s="22"/>
    </row>
    <row r="4" spans="1:10" ht="12.75">
      <c r="A4" s="72" t="s">
        <v>2</v>
      </c>
      <c r="B4" s="63"/>
      <c r="C4" s="61" t="s">
        <v>162</v>
      </c>
      <c r="D4" s="63"/>
      <c r="E4" s="61" t="s">
        <v>256</v>
      </c>
      <c r="F4" s="61" t="s">
        <v>261</v>
      </c>
      <c r="G4" s="63"/>
      <c r="H4" s="61" t="s">
        <v>368</v>
      </c>
      <c r="I4" s="103"/>
      <c r="J4" s="22"/>
    </row>
    <row r="5" spans="1:10" ht="12.75">
      <c r="A5" s="79"/>
      <c r="B5" s="63"/>
      <c r="C5" s="63"/>
      <c r="D5" s="63"/>
      <c r="E5" s="63"/>
      <c r="F5" s="63"/>
      <c r="G5" s="63"/>
      <c r="H5" s="63"/>
      <c r="I5" s="67"/>
      <c r="J5" s="22"/>
    </row>
    <row r="6" spans="1:10" ht="12.75">
      <c r="A6" s="72" t="s">
        <v>3</v>
      </c>
      <c r="B6" s="63"/>
      <c r="C6" s="61" t="s">
        <v>163</v>
      </c>
      <c r="D6" s="63"/>
      <c r="E6" s="61" t="s">
        <v>257</v>
      </c>
      <c r="F6" s="61" t="s">
        <v>262</v>
      </c>
      <c r="G6" s="63"/>
      <c r="H6" s="61" t="s">
        <v>368</v>
      </c>
      <c r="I6" s="103"/>
      <c r="J6" s="22"/>
    </row>
    <row r="7" spans="1:10" ht="12.75">
      <c r="A7" s="79"/>
      <c r="B7" s="63"/>
      <c r="C7" s="63"/>
      <c r="D7" s="63"/>
      <c r="E7" s="63"/>
      <c r="F7" s="63"/>
      <c r="G7" s="63"/>
      <c r="H7" s="63"/>
      <c r="I7" s="67"/>
      <c r="J7" s="22"/>
    </row>
    <row r="8" spans="1:10" ht="12.75">
      <c r="A8" s="72" t="s">
        <v>237</v>
      </c>
      <c r="B8" s="63"/>
      <c r="C8" s="75"/>
      <c r="D8" s="63"/>
      <c r="E8" s="61" t="s">
        <v>238</v>
      </c>
      <c r="F8" s="63"/>
      <c r="G8" s="63"/>
      <c r="H8" s="61" t="s">
        <v>369</v>
      </c>
      <c r="I8" s="103" t="s">
        <v>382</v>
      </c>
      <c r="J8" s="22"/>
    </row>
    <row r="9" spans="1:10" ht="12.75">
      <c r="A9" s="79"/>
      <c r="B9" s="63"/>
      <c r="C9" s="63"/>
      <c r="D9" s="63"/>
      <c r="E9" s="63"/>
      <c r="F9" s="63"/>
      <c r="G9" s="63"/>
      <c r="H9" s="63"/>
      <c r="I9" s="67"/>
      <c r="J9" s="22"/>
    </row>
    <row r="10" spans="1:10" ht="12.75">
      <c r="A10" s="72" t="s">
        <v>4</v>
      </c>
      <c r="B10" s="63"/>
      <c r="C10" s="61"/>
      <c r="D10" s="63"/>
      <c r="E10" s="61" t="s">
        <v>258</v>
      </c>
      <c r="F10" s="61"/>
      <c r="G10" s="63"/>
      <c r="H10" s="61" t="s">
        <v>370</v>
      </c>
      <c r="I10" s="104">
        <v>41383</v>
      </c>
      <c r="J10" s="22"/>
    </row>
    <row r="11" spans="1:10" ht="12.75">
      <c r="A11" s="106"/>
      <c r="B11" s="101"/>
      <c r="C11" s="101"/>
      <c r="D11" s="101"/>
      <c r="E11" s="101"/>
      <c r="F11" s="101"/>
      <c r="G11" s="101"/>
      <c r="H11" s="101"/>
      <c r="I11" s="105"/>
      <c r="J11" s="22"/>
    </row>
    <row r="12" spans="1:9" ht="23.25" customHeight="1">
      <c r="A12" s="97" t="s">
        <v>333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39" t="s">
        <v>334</v>
      </c>
      <c r="B13" s="99" t="s">
        <v>346</v>
      </c>
      <c r="C13" s="100"/>
      <c r="D13" s="39" t="s">
        <v>348</v>
      </c>
      <c r="E13" s="99" t="s">
        <v>356</v>
      </c>
      <c r="F13" s="100"/>
      <c r="G13" s="39" t="s">
        <v>357</v>
      </c>
      <c r="H13" s="99" t="s">
        <v>371</v>
      </c>
      <c r="I13" s="100"/>
      <c r="J13" s="22"/>
    </row>
    <row r="14" spans="1:10" ht="15" customHeight="1">
      <c r="A14" s="40" t="s">
        <v>335</v>
      </c>
      <c r="B14" s="45" t="s">
        <v>347</v>
      </c>
      <c r="C14" s="47">
        <f>SUM('Stavební rozpočet'!R12:R104)</f>
        <v>0</v>
      </c>
      <c r="D14" s="93" t="s">
        <v>349</v>
      </c>
      <c r="E14" s="94"/>
      <c r="F14" s="47">
        <v>0</v>
      </c>
      <c r="G14" s="93" t="s">
        <v>358</v>
      </c>
      <c r="H14" s="94"/>
      <c r="I14" s="47">
        <v>0</v>
      </c>
      <c r="J14" s="22"/>
    </row>
    <row r="15" spans="1:10" ht="15" customHeight="1">
      <c r="A15" s="41"/>
      <c r="B15" s="45" t="s">
        <v>259</v>
      </c>
      <c r="C15" s="47">
        <f>SUM('Stavební rozpočet'!S12:S104)</f>
        <v>0</v>
      </c>
      <c r="D15" s="93" t="s">
        <v>350</v>
      </c>
      <c r="E15" s="94"/>
      <c r="F15" s="47">
        <v>0</v>
      </c>
      <c r="G15" s="93" t="s">
        <v>359</v>
      </c>
      <c r="H15" s="94"/>
      <c r="I15" s="47">
        <v>0</v>
      </c>
      <c r="J15" s="22"/>
    </row>
    <row r="16" spans="1:10" ht="15" customHeight="1">
      <c r="A16" s="40" t="s">
        <v>336</v>
      </c>
      <c r="B16" s="45" t="s">
        <v>347</v>
      </c>
      <c r="C16" s="47">
        <f>SUM('Stavební rozpočet'!T12:T104)</f>
        <v>0</v>
      </c>
      <c r="D16" s="93" t="s">
        <v>351</v>
      </c>
      <c r="E16" s="94"/>
      <c r="F16" s="47">
        <v>0</v>
      </c>
      <c r="G16" s="93" t="s">
        <v>360</v>
      </c>
      <c r="H16" s="94"/>
      <c r="I16" s="47">
        <v>0</v>
      </c>
      <c r="J16" s="22"/>
    </row>
    <row r="17" spans="1:10" ht="15" customHeight="1">
      <c r="A17" s="41"/>
      <c r="B17" s="45" t="s">
        <v>259</v>
      </c>
      <c r="C17" s="47">
        <f>SUM('Stavební rozpočet'!U12:U104)</f>
        <v>0</v>
      </c>
      <c r="D17" s="93"/>
      <c r="E17" s="94"/>
      <c r="F17" s="48"/>
      <c r="G17" s="93" t="s">
        <v>361</v>
      </c>
      <c r="H17" s="94"/>
      <c r="I17" s="47">
        <v>0</v>
      </c>
      <c r="J17" s="22"/>
    </row>
    <row r="18" spans="1:10" ht="15" customHeight="1">
      <c r="A18" s="40" t="s">
        <v>337</v>
      </c>
      <c r="B18" s="45" t="s">
        <v>347</v>
      </c>
      <c r="C18" s="47">
        <f>SUM('Stavební rozpočet'!V12:V104)</f>
        <v>0</v>
      </c>
      <c r="D18" s="93"/>
      <c r="E18" s="94"/>
      <c r="F18" s="48"/>
      <c r="G18" s="93" t="s">
        <v>362</v>
      </c>
      <c r="H18" s="94"/>
      <c r="I18" s="47">
        <v>0</v>
      </c>
      <c r="J18" s="22"/>
    </row>
    <row r="19" spans="1:10" ht="15" customHeight="1">
      <c r="A19" s="41"/>
      <c r="B19" s="45" t="s">
        <v>259</v>
      </c>
      <c r="C19" s="47">
        <f>SUM('Stavební rozpočet'!W12:W104)</f>
        <v>0</v>
      </c>
      <c r="D19" s="93"/>
      <c r="E19" s="94"/>
      <c r="F19" s="48"/>
      <c r="G19" s="93" t="s">
        <v>363</v>
      </c>
      <c r="H19" s="94"/>
      <c r="I19" s="47">
        <v>0</v>
      </c>
      <c r="J19" s="22"/>
    </row>
    <row r="20" spans="1:10" ht="15" customHeight="1">
      <c r="A20" s="95" t="s">
        <v>338</v>
      </c>
      <c r="B20" s="96"/>
      <c r="C20" s="47">
        <f>SUM('Stavební rozpočet'!X12:X104)</f>
        <v>0</v>
      </c>
      <c r="D20" s="93"/>
      <c r="E20" s="94"/>
      <c r="F20" s="48"/>
      <c r="G20" s="93"/>
      <c r="H20" s="94"/>
      <c r="I20" s="48"/>
      <c r="J20" s="22"/>
    </row>
    <row r="21" spans="1:10" ht="15" customHeight="1">
      <c r="A21" s="95" t="s">
        <v>339</v>
      </c>
      <c r="B21" s="96"/>
      <c r="C21" s="47">
        <f>SUM('Stavební rozpočet'!P12:P104)</f>
        <v>0</v>
      </c>
      <c r="D21" s="93"/>
      <c r="E21" s="94"/>
      <c r="F21" s="48"/>
      <c r="G21" s="93"/>
      <c r="H21" s="94"/>
      <c r="I21" s="48"/>
      <c r="J21" s="22"/>
    </row>
    <row r="22" spans="1:10" ht="16.5" customHeight="1">
      <c r="A22" s="95" t="s">
        <v>340</v>
      </c>
      <c r="B22" s="96"/>
      <c r="C22" s="47">
        <f>SUM(C14:C21)</f>
        <v>0</v>
      </c>
      <c r="D22" s="95" t="s">
        <v>352</v>
      </c>
      <c r="E22" s="96"/>
      <c r="F22" s="47">
        <f>SUM(F14:F21)</f>
        <v>0</v>
      </c>
      <c r="G22" s="95" t="s">
        <v>364</v>
      </c>
      <c r="H22" s="96"/>
      <c r="I22" s="47">
        <f>SUM(I14:I21)</f>
        <v>0</v>
      </c>
      <c r="J22" s="22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5" customHeight="1">
      <c r="A24" s="91" t="s">
        <v>341</v>
      </c>
      <c r="B24" s="92"/>
      <c r="C24" s="49">
        <f>SUM('Stavební rozpočet'!Z12:Z104)</f>
        <v>0</v>
      </c>
      <c r="D24" s="46"/>
      <c r="E24" s="36"/>
      <c r="F24" s="36"/>
      <c r="G24" s="36"/>
      <c r="H24" s="36"/>
      <c r="I24" s="36"/>
    </row>
    <row r="25" spans="1:10" ht="15" customHeight="1">
      <c r="A25" s="91" t="s">
        <v>342</v>
      </c>
      <c r="B25" s="92"/>
      <c r="C25" s="49">
        <f>SUM('Stavební rozpočet'!AA12:AA104)</f>
        <v>0</v>
      </c>
      <c r="D25" s="91" t="s">
        <v>353</v>
      </c>
      <c r="E25" s="92"/>
      <c r="F25" s="49">
        <f>ROUND(C25*(15/100),2)</f>
        <v>0</v>
      </c>
      <c r="G25" s="91" t="s">
        <v>365</v>
      </c>
      <c r="H25" s="92"/>
      <c r="I25" s="49">
        <f>SUM(C24:C26)</f>
        <v>0</v>
      </c>
      <c r="J25" s="22"/>
    </row>
    <row r="26" spans="1:10" ht="15" customHeight="1">
      <c r="A26" s="91" t="s">
        <v>343</v>
      </c>
      <c r="B26" s="92"/>
      <c r="C26" s="49">
        <f>ROUND(SUM('Stavební rozpočet'!AB12:AB104)+(F22+I22),0)</f>
        <v>0</v>
      </c>
      <c r="D26" s="91" t="s">
        <v>354</v>
      </c>
      <c r="E26" s="92"/>
      <c r="F26" s="49">
        <f>ROUND(C26*(21/100),0)</f>
        <v>0</v>
      </c>
      <c r="G26" s="91" t="s">
        <v>366</v>
      </c>
      <c r="H26" s="92"/>
      <c r="I26" s="49">
        <f>SUM(F25:F26)+I25</f>
        <v>0</v>
      </c>
      <c r="J26" s="22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4.25" customHeight="1">
      <c r="A28" s="85" t="s">
        <v>344</v>
      </c>
      <c r="B28" s="86"/>
      <c r="C28" s="87"/>
      <c r="D28" s="85" t="s">
        <v>355</v>
      </c>
      <c r="E28" s="86"/>
      <c r="F28" s="87"/>
      <c r="G28" s="85" t="s">
        <v>367</v>
      </c>
      <c r="H28" s="86"/>
      <c r="I28" s="87"/>
      <c r="J28" s="23"/>
    </row>
    <row r="29" spans="1:10" ht="14.25" customHeight="1">
      <c r="A29" s="88"/>
      <c r="B29" s="89"/>
      <c r="C29" s="90"/>
      <c r="D29" s="88"/>
      <c r="E29" s="89"/>
      <c r="F29" s="90"/>
      <c r="G29" s="88"/>
      <c r="H29" s="89"/>
      <c r="I29" s="90"/>
      <c r="J29" s="23"/>
    </row>
    <row r="30" spans="1:10" ht="14.25" customHeight="1">
      <c r="A30" s="88"/>
      <c r="B30" s="89"/>
      <c r="C30" s="90"/>
      <c r="D30" s="88"/>
      <c r="E30" s="89"/>
      <c r="F30" s="90"/>
      <c r="G30" s="88"/>
      <c r="H30" s="89"/>
      <c r="I30" s="90"/>
      <c r="J30" s="23"/>
    </row>
    <row r="31" spans="1:10" ht="14.25" customHeight="1">
      <c r="A31" s="88"/>
      <c r="B31" s="89"/>
      <c r="C31" s="90"/>
      <c r="D31" s="88"/>
      <c r="E31" s="89"/>
      <c r="F31" s="90"/>
      <c r="G31" s="88"/>
      <c r="H31" s="89"/>
      <c r="I31" s="90"/>
      <c r="J31" s="23"/>
    </row>
    <row r="32" spans="1:10" ht="14.25" customHeight="1">
      <c r="A32" s="82" t="s">
        <v>345</v>
      </c>
      <c r="B32" s="83"/>
      <c r="C32" s="84"/>
      <c r="D32" s="82" t="s">
        <v>345</v>
      </c>
      <c r="E32" s="83"/>
      <c r="F32" s="84"/>
      <c r="G32" s="82" t="s">
        <v>345</v>
      </c>
      <c r="H32" s="83"/>
      <c r="I32" s="84"/>
      <c r="J32" s="23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Milan Jáchim</cp:lastModifiedBy>
  <cp:lastPrinted>2013-04-22T19:27:31Z</cp:lastPrinted>
  <dcterms:created xsi:type="dcterms:W3CDTF">2013-04-22T16:51:37Z</dcterms:created>
  <dcterms:modified xsi:type="dcterms:W3CDTF">2014-02-11T12:20:29Z</dcterms:modified>
  <cp:category/>
  <cp:version/>
  <cp:contentType/>
  <cp:contentStatus/>
</cp:coreProperties>
</file>